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0" yWindow="615" windowWidth="27495" windowHeight="11385"/>
  </bookViews>
  <sheets>
    <sheet name="Документ" sheetId="2" r:id="rId1"/>
  </sheet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D30" i="2" l="1"/>
  <c r="D29" i="2"/>
  <c r="D110" i="2"/>
  <c r="D109" i="2"/>
  <c r="D108" i="2"/>
  <c r="D107" i="2"/>
  <c r="D106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5" i="2"/>
  <c r="D54" i="2"/>
  <c r="D53" i="2"/>
  <c r="D52" i="2"/>
  <c r="D51" i="2"/>
  <c r="D50" i="2"/>
  <c r="D49" i="2"/>
  <c r="D45" i="2"/>
  <c r="D44" i="2"/>
  <c r="D43" i="2"/>
  <c r="D42" i="2"/>
  <c r="D39" i="2"/>
  <c r="D40" i="2"/>
  <c r="D41" i="2"/>
  <c r="D38" i="2"/>
  <c r="D37" i="2"/>
  <c r="D36" i="2"/>
  <c r="D35" i="2"/>
  <c r="D34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H110" i="2" l="1"/>
  <c r="I110" i="2"/>
  <c r="G56" i="2"/>
  <c r="G52" i="2"/>
  <c r="G50" i="2"/>
  <c r="G47" i="2"/>
  <c r="G46" i="2" s="1"/>
  <c r="C47" i="2"/>
  <c r="C46" i="2" s="1"/>
  <c r="G44" i="2"/>
  <c r="G42" i="2" s="1"/>
  <c r="G37" i="2"/>
  <c r="G39" i="2"/>
  <c r="G34" i="2"/>
  <c r="G29" i="2"/>
  <c r="G27" i="2"/>
  <c r="G17" i="2"/>
  <c r="G16" i="2" s="1"/>
  <c r="G25" i="2"/>
  <c r="G23" i="2" s="1"/>
  <c r="G11" i="2"/>
  <c r="G10" i="2" s="1"/>
  <c r="G36" i="2" l="1"/>
  <c r="H36" i="2" s="1"/>
  <c r="I40" i="2"/>
  <c r="I42" i="2"/>
  <c r="I44" i="2"/>
  <c r="I49" i="2"/>
  <c r="I53" i="2"/>
  <c r="I55" i="2"/>
  <c r="I59" i="2"/>
  <c r="I61" i="2"/>
  <c r="I63" i="2"/>
  <c r="I65" i="2"/>
  <c r="I67" i="2"/>
  <c r="I69" i="2"/>
  <c r="I71" i="2"/>
  <c r="I73" i="2"/>
  <c r="I75" i="2"/>
  <c r="I81" i="2"/>
  <c r="I83" i="2"/>
  <c r="I85" i="2"/>
  <c r="I87" i="2"/>
  <c r="I89" i="2"/>
  <c r="I91" i="2"/>
  <c r="I93" i="2"/>
  <c r="I95" i="2"/>
  <c r="I97" i="2"/>
  <c r="I99" i="2"/>
  <c r="I101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1" i="2"/>
  <c r="H112" i="2"/>
  <c r="H8" i="2"/>
  <c r="D116" i="2"/>
  <c r="D115" i="2"/>
  <c r="D114" i="2"/>
  <c r="D112" i="2"/>
  <c r="I112" i="2" s="1"/>
  <c r="D111" i="2"/>
  <c r="I111" i="2" s="1"/>
  <c r="I109" i="2"/>
  <c r="I108" i="2"/>
  <c r="I107" i="2"/>
  <c r="I106" i="2"/>
  <c r="D105" i="2"/>
  <c r="I105" i="2" s="1"/>
  <c r="D104" i="2"/>
  <c r="I104" i="2" s="1"/>
  <c r="D103" i="2"/>
  <c r="I103" i="2" s="1"/>
  <c r="I102" i="2"/>
  <c r="I100" i="2"/>
  <c r="I98" i="2"/>
  <c r="I96" i="2"/>
  <c r="I94" i="2"/>
  <c r="I92" i="2"/>
  <c r="I90" i="2"/>
  <c r="I88" i="2"/>
  <c r="I86" i="2"/>
  <c r="I84" i="2"/>
  <c r="I82" i="2"/>
  <c r="D78" i="2"/>
  <c r="I78" i="2" s="1"/>
  <c r="D77" i="2"/>
  <c r="I77" i="2" s="1"/>
  <c r="D76" i="2"/>
  <c r="I76" i="2" s="1"/>
  <c r="I74" i="2"/>
  <c r="I72" i="2"/>
  <c r="I70" i="2"/>
  <c r="I68" i="2"/>
  <c r="I66" i="2"/>
  <c r="I64" i="2"/>
  <c r="I62" i="2"/>
  <c r="I60" i="2"/>
  <c r="I58" i="2"/>
  <c r="D57" i="2"/>
  <c r="I57" i="2" s="1"/>
  <c r="D56" i="2"/>
  <c r="I56" i="2" s="1"/>
  <c r="I54" i="2"/>
  <c r="I52" i="2"/>
  <c r="I45" i="2"/>
  <c r="I43" i="2"/>
  <c r="I41" i="2"/>
  <c r="I39" i="2"/>
  <c r="I38" i="2"/>
  <c r="I37" i="2"/>
  <c r="I36" i="2"/>
  <c r="I35" i="2"/>
  <c r="I34" i="2"/>
  <c r="D33" i="2"/>
  <c r="I33" i="2" s="1"/>
  <c r="D32" i="2"/>
  <c r="I32" i="2" s="1"/>
  <c r="D31" i="2"/>
  <c r="I31" i="2" s="1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<sst xmlns="http://schemas.openxmlformats.org/spreadsheetml/2006/main" count="242" uniqueCount="236">
  <si>
    <t>Единица измерения: тыс.руб.</t>
  </si>
  <si>
    <t>Наименование показателя</t>
  </si>
  <si>
    <t>Код дохода по бюджетной классификации</t>
  </si>
  <si>
    <t>План на 2022 год</t>
  </si>
  <si>
    <t>Кассовый план поступлений</t>
  </si>
  <si>
    <t>I квартал</t>
  </si>
  <si>
    <t>II квартал</t>
  </si>
  <si>
    <t>1</t>
  </si>
  <si>
    <t>2</t>
  </si>
  <si>
    <t>3</t>
  </si>
  <si>
    <t>4</t>
  </si>
  <si>
    <t>5</t>
  </si>
  <si>
    <t>6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</si>
  <si>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</si>
  <si>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</si>
  <si>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</si>
  <si>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</si>
  <si>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</si>
  <si>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</si>
  <si>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</si>
  <si>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</si>
  <si>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</si>
  <si>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</si>
  <si>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</si>
  <si>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</si>
  <si>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</si>
  <si>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</si>
  <si>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</si>
  <si>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</si>
  <si>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</si>
  <si>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</si>
  <si>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</si>
  <si>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</si>
  <si>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</si>
  <si>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</si>
  <si>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</si>
  <si>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</si>
  <si>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</si>
  <si>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</si>
  <si>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</si>
  <si>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</si>
  <si>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</si>
  <si>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</si>
  <si>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</si>
  <si>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</si>
  <si>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</si>
  <si>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</si>
  <si>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</si>
  <si>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</si>
  <si>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</si>
  <si>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</si>
  <si>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</si>
  <si>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</si>
  <si>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</si>
  <si>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</si>
  <si>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18210503010010000110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</si>
  <si>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</si>
  <si>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00010503010011000110</t>
  </si>
  <si>
    <t>18210503010011000110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</si>
  <si>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</si>
  <si>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</si>
  <si>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</si>
  <si>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</si>
  <si>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</si>
  <si>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</si>
  <si>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</si>
  <si>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</si>
  <si>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</si>
  <si>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</si>
  <si>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</t>
  </si>
  <si>
    <t>00010606000000000110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</si>
  <si>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</si>
  <si>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</si>
  <si>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</si>
  <si>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</si>
  <si>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</si>
  <si>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</si>
  <si>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</si>
  <si>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</si>
  <si>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</si>
  <si>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</si>
  <si>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</si>
  <si>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00010807170010000110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</si>
  <si>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</si>
  <si>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</si>
  <si>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</si>
  <si>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</si>
  <si>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</si>
  <si>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00011101040040000120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</si>
  <si>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</si>
  <si>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</si>
  <si>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</si>
  <si>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</si>
  <si>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</si>
  <si>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</si>
  <si>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</si>
  <si>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00011105034040000120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</si>
  <si>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</si>
  <si>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</si>
  <si>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</si>
  <si>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</si>
  <si>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</si>
  <si>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</si>
  <si>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</si>
  <si>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</si>
  <si>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</si>
  <si>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</si>
  <si>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</si>
  <si>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</si>
  <si>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</si>
  <si>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</si>
  <si>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</si>
  <si>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</si>
  <si>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</si>
  <si>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</si>
  <si>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</si>
  <si>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00011201070010000120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</si>
  <si>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</si>
  <si>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</si>
  <si>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</si>
  <si>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</si>
  <si>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Доходы от компенсации затрат государства</t>
  </si>
  <si>
    <t>00011302000000000130</t>
  </si>
  <si>
    <t>Прочие доходы от компенсации затрат бюджетов городских округов</t>
  </si>
  <si>
    <t>00011302994040000130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</si>
  <si>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</si>
  <si>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</si>
  <si>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</si>
  <si>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</si>
  <si>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</si>
  <si>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</si>
  <si>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</si>
  <si>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</si>
  <si>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</si>
  <si>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</si>
  <si>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</si>
  <si>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</si>
  <si>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</si>
  <si>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</si>
  <si>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</si>
  <si>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</si>
  <si>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городских округов</t>
  </si>
  <si>
    <t>00011701040040000180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</si>
  <si>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</si>
  <si>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</si>
  <si>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</si>
  <si>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</si>
  <si>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</si>
  <si>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</si>
  <si>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</si>
  <si>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</si>
  <si>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</si>
  <si>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00020215001040000150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</si>
  <si>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</si>
  <si>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</si>
  <si>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городских округов на поддержку мер по обеспечению сбалансированности бюджетов</t>
  </si>
  <si>
    <t>00020215002040000150</t>
  </si>
  <si>
    <t>Прочие дотации</t>
  </si>
  <si>
    <t>00020219999000000150</t>
  </si>
  <si>
    <t>Прочие дотации бюджетам городских округов</t>
  </si>
  <si>
    <t>00020219999040000150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</si>
  <si>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</si>
  <si>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</si>
  <si>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</si>
  <si>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</si>
  <si>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</si>
  <si>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00020225304040000150</t>
  </si>
  <si>
    <t>Субсидии бюджетам на поддержку отрасли культуры</t>
  </si>
  <si>
    <t>00020225519000000150</t>
  </si>
  <si>
    <t>Субсидии бюджетам городских округов на поддержку отрасли культуры</t>
  </si>
  <si>
    <t>00020225519040000150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</si>
  <si>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</si>
  <si>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</si>
  <si>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округов на реализацию программ формирования современной городской среды</t>
  </si>
  <si>
    <t>00020225555040000150</t>
  </si>
  <si>
    <t>Прочие субсидии</t>
  </si>
  <si>
    <t>00020229999000000150</t>
  </si>
  <si>
    <t>Прочие субсидии бюджетам городских округов</t>
  </si>
  <si>
    <t>00020229999040000150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</si>
  <si>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</si>
  <si>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</si>
  <si>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</si>
  <si>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</si>
  <si>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</si>
  <si>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</si>
  <si>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</si>
  <si>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</si>
  <si>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</si>
  <si>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</si>
  <si>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</si>
  <si>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</si>
  <si>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</si>
  <si>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00020235120040000150</t>
  </si>
  <si>
    <t>Прочие субвенции</t>
  </si>
  <si>
    <t>00020239999000000150</t>
  </si>
  <si>
    <t>Прочие субвенции бюджетам городских округов</t>
  </si>
  <si>
    <t>00020239999040000150</t>
  </si>
  <si>
    <t>Иные межбюджетные трансферты</t>
  </si>
  <si>
    <t>00020240000000000150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</si>
  <si>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</si>
  <si>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00020245303000000150</t>
  </si>
  <si>
    <t>ПРОЧИЕ БЕЗВОЗМЕЗДНЫЕ ПОСТУПЛЕНИЯ</t>
  </si>
  <si>
    <t>00020700000000000000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</si>
  <si>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</si>
  <si>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00020704020040000150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</si>
  <si>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</si>
  <si>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</si>
  <si>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</si>
  <si>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</si>
  <si>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</si>
  <si>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</si>
  <si>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Доходы бюджета - всего</t>
  </si>
  <si>
    <t>X</t>
  </si>
  <si>
    <t>Сведения об исполнении бюджета МОГО "Инта"</t>
  </si>
  <si>
    <t xml:space="preserve">по доходам в разрезе видов доходов </t>
  </si>
  <si>
    <t>в сравнении с запланированными значениями на 2022 года</t>
  </si>
  <si>
    <t>Исполнение к годовому плану</t>
  </si>
  <si>
    <t>7</t>
  </si>
  <si>
    <t>План за 9 месяцев 2022года</t>
  </si>
  <si>
    <t>Исполнено за 9 месяцев 2022 года</t>
  </si>
  <si>
    <t>Исполнение к плану 9 месяцев</t>
  </si>
  <si>
    <t>на 01.10.2022 года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</si>
  <si>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</si>
  <si>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</si>
  <si>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</si>
  <si>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00010900000000000000</t>
  </si>
  <si>
    <t>00010904000000000110</t>
  </si>
  <si>
    <t>00010904050000000110</t>
  </si>
  <si>
    <t>Прочие неналоговые доходы</t>
  </si>
  <si>
    <t>Прочие неналоговые доходы бюджетов городских округов</t>
  </si>
  <si>
    <t>000 1170500000 0000 180</t>
  </si>
  <si>
    <t>000 1170504004 0000 180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</si>
  <si>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</si>
  <si>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000 2024530304 0000 150</t>
  </si>
  <si>
    <t>Прочие безвозмездные поступления в бюджеты городских округов</t>
  </si>
  <si>
    <t xml:space="preserve"> 000 2070405004 0000 150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</si>
</sst>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49" fontId="2" fillId="0" borderId="8">
      <alignment horizontal="center" vertical="center" wrapText="1"/>
    </xf>
    <xf numFmtId="0" fontId="3" fillId="2" borderId="9">
      <alignment horizontal="left" vertical="top" wrapText="1"/>
    </xf>
    <xf numFmtId="49" fontId="3" fillId="2" borderId="10">
      <alignment horizontal="center" vertical="top" wrapText="1" shrinkToFit="1"/>
    </xf>
    <xf numFmtId="4" fontId="3" fillId="2" borderId="10">
      <alignment horizontal="right" vertical="top" wrapText="1" shrinkToFit="1"/>
    </xf>
    <xf numFmtId="4" fontId="3" fillId="2" borderId="11">
      <alignment horizontal="right" vertical="top" shrinkToFit="1"/>
    </xf>
    <xf numFmtId="0" fontId="2" fillId="3" borderId="12">
      <alignment horizontal="left" vertical="top" wrapText="1"/>
    </xf>
    <xf numFmtId="49" fontId="2" fillId="3" borderId="13">
      <alignment horizontal="center" vertical="top" shrinkToFit="1"/>
    </xf>
    <xf numFmtId="4" fontId="2" fillId="3" borderId="13">
      <alignment horizontal="right" vertical="top" shrinkToFit="1"/>
    </xf>
    <xf numFmtId="4" fontId="2" fillId="3" borderId="14">
      <alignment horizontal="right" vertical="top" shrinkToFit="1"/>
    </xf>
    <xf numFmtId="0" fontId="2" fillId="4" borderId="15">
      <alignment horizontal="left" vertical="top" wrapText="1"/>
    </xf>
    <xf numFmtId="49" fontId="2" fillId="4" borderId="16">
      <alignment horizontal="center" vertical="top" shrinkToFit="1"/>
    </xf>
    <xf numFmtId="4" fontId="2" fillId="4" borderId="16">
      <alignment horizontal="right" vertical="top" shrinkToFit="1"/>
    </xf>
    <xf numFmtId="4" fontId="2" fillId="4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0" fontId="3" fillId="5" borderId="18"/>
    <xf numFmtId="4" fontId="3" fillId="5" borderId="19">
      <alignment horizontal="right" shrinkToFit="1"/>
    </xf>
    <xf numFmtId="4" fontId="3" fillId="5" borderId="20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</cellStyleXfs>
  <cellXfs count="49">
    <xf numFmtId="0" fontId="0" fillId="0" borderId="0" xfId="0"/>
    <xf numFmtId="0" fontId="9" fillId="6" borderId="0" xfId="0" applyFont="1" applyFill="1" applyProtection="1">
      <protection locked="0"/>
    </xf>
    <xf numFmtId="0" fontId="10" fillId="6" borderId="1" xfId="1" applyNumberFormat="1" applyFont="1" applyFill="1" applyBorder="1" applyAlignment="1" applyProtection="1">
      <alignment vertical="top" wrapText="1"/>
    </xf>
    <xf numFmtId="0" fontId="10" fillId="6" borderId="1" xfId="1" applyFont="1" applyFill="1" applyBorder="1" applyAlignment="1">
      <alignment vertical="top" wrapText="1"/>
    </xf>
    <xf numFmtId="49" fontId="11" fillId="6" borderId="21" xfId="6" applyNumberFormat="1" applyFont="1" applyFill="1" applyBorder="1" applyProtection="1">
      <alignment horizontal="center" vertical="center" wrapText="1"/>
    </xf>
    <xf numFmtId="49" fontId="11" fillId="6" borderId="21" xfId="7" applyNumberFormat="1" applyFont="1" applyFill="1" applyBorder="1" applyProtection="1">
      <alignment horizontal="center" vertical="center" wrapText="1"/>
    </xf>
    <xf numFmtId="49" fontId="11" fillId="6" borderId="21" xfId="8" applyNumberFormat="1" applyFont="1" applyFill="1" applyBorder="1" applyProtection="1">
      <alignment horizontal="center" vertical="center" wrapText="1"/>
    </xf>
    <xf numFmtId="0" fontId="12" fillId="6" borderId="21" xfId="37" applyNumberFormat="1" applyFont="1" applyFill="1" applyBorder="1" applyProtection="1"/>
    <xf numFmtId="49" fontId="7" fillId="6" borderId="21" xfId="0" applyNumberFormat="1" applyFont="1" applyFill="1" applyBorder="1" applyAlignment="1">
      <alignment horizontal="center"/>
    </xf>
    <xf numFmtId="164" fontId="12" fillId="6" borderId="21" xfId="38" applyNumberFormat="1" applyFont="1" applyFill="1" applyBorder="1" applyProtection="1">
      <alignment horizontal="right" shrinkToFit="1"/>
    </xf>
    <xf numFmtId="164" fontId="12" fillId="6" borderId="21" xfId="39" applyNumberFormat="1" applyFont="1" applyFill="1" applyBorder="1" applyProtection="1">
      <alignment horizontal="right" shrinkToFit="1"/>
    </xf>
    <xf numFmtId="0" fontId="13" fillId="6" borderId="21" xfId="9" applyNumberFormat="1" applyFont="1" applyFill="1" applyBorder="1" applyProtection="1">
      <alignment horizontal="left" vertical="top" wrapText="1"/>
    </xf>
    <xf numFmtId="49" fontId="13" fillId="6" borderId="21" xfId="10" applyNumberFormat="1" applyFont="1" applyFill="1" applyBorder="1" applyProtection="1">
      <alignment horizontal="center" vertical="top" wrapText="1" shrinkToFit="1"/>
    </xf>
    <xf numFmtId="164" fontId="13" fillId="6" borderId="21" xfId="11" applyNumberFormat="1" applyFont="1" applyFill="1" applyBorder="1" applyProtection="1">
      <alignment horizontal="right" vertical="top" wrapText="1" shrinkToFit="1"/>
    </xf>
    <xf numFmtId="164" fontId="13" fillId="6" borderId="21" xfId="12" applyNumberFormat="1" applyFont="1" applyFill="1" applyBorder="1" applyProtection="1">
      <alignment horizontal="right" vertical="top" shrinkToFit="1"/>
    </xf>
    <xf numFmtId="0" fontId="10" fillId="6" borderId="21" xfId="13" applyNumberFormat="1" applyFont="1" applyFill="1" applyBorder="1" applyProtection="1">
      <alignment horizontal="left" vertical="top" wrapText="1"/>
    </xf>
    <xf numFmtId="49" fontId="10" fillId="6" borderId="21" xfId="14" applyNumberFormat="1" applyFont="1" applyFill="1" applyBorder="1" applyProtection="1">
      <alignment horizontal="center" vertical="top" shrinkToFit="1"/>
    </xf>
    <xf numFmtId="164" fontId="10" fillId="6" borderId="21" xfId="15" applyNumberFormat="1" applyFont="1" applyFill="1" applyBorder="1" applyProtection="1">
      <alignment horizontal="right" vertical="top" shrinkToFit="1"/>
    </xf>
    <xf numFmtId="164" fontId="10" fillId="6" borderId="21" xfId="16" applyNumberFormat="1" applyFont="1" applyFill="1" applyBorder="1" applyProtection="1">
      <alignment horizontal="right" vertical="top" shrinkToFit="1"/>
    </xf>
    <xf numFmtId="0" fontId="10" fillId="6" borderId="21" xfId="17" applyNumberFormat="1" applyFont="1" applyFill="1" applyBorder="1" applyProtection="1">
      <alignment horizontal="left" vertical="top" wrapText="1"/>
    </xf>
    <xf numFmtId="49" fontId="10" fillId="6" borderId="21" xfId="18" applyNumberFormat="1" applyFont="1" applyFill="1" applyBorder="1" applyProtection="1">
      <alignment horizontal="center" vertical="top" shrinkToFit="1"/>
    </xf>
    <xf numFmtId="164" fontId="10" fillId="6" borderId="21" xfId="19" applyNumberFormat="1" applyFont="1" applyFill="1" applyBorder="1" applyProtection="1">
      <alignment horizontal="right" vertical="top" shrinkToFit="1"/>
    </xf>
    <xf numFmtId="164" fontId="10" fillId="6" borderId="21" xfId="20" applyNumberFormat="1" applyFont="1" applyFill="1" applyBorder="1" applyProtection="1">
      <alignment horizontal="right" vertical="top" shrinkToFit="1"/>
    </xf>
    <xf numFmtId="0" fontId="10" fillId="6" borderId="21" xfId="21" applyNumberFormat="1" applyFont="1" applyFill="1" applyBorder="1" applyProtection="1">
      <alignment horizontal="left" vertical="top" wrapText="1"/>
    </xf>
    <xf numFmtId="49" fontId="10" fillId="6" borderId="21" xfId="22" applyNumberFormat="1" applyFont="1" applyFill="1" applyBorder="1" applyProtection="1">
      <alignment horizontal="center" vertical="top" shrinkToFit="1"/>
    </xf>
    <xf numFmtId="164" fontId="10" fillId="6" borderId="21" xfId="23" applyNumberFormat="1" applyFont="1" applyFill="1" applyBorder="1" applyProtection="1">
      <alignment horizontal="right" vertical="top" shrinkToFit="1"/>
    </xf>
    <xf numFmtId="164" fontId="10" fillId="6" borderId="21" xfId="24" applyNumberFormat="1" applyFont="1" applyFill="1" applyBorder="1" applyProtection="1">
      <alignment horizontal="right" vertical="top" shrinkToFit="1"/>
    </xf>
    <xf numFmtId="0" fontId="10" fillId="6" borderId="21" xfId="25" applyNumberFormat="1" applyFont="1" applyFill="1" applyBorder="1" applyProtection="1">
      <alignment horizontal="left" vertical="top" wrapText="1"/>
    </xf>
    <xf numFmtId="49" fontId="10" fillId="6" borderId="21" xfId="26" applyNumberFormat="1" applyFont="1" applyFill="1" applyBorder="1" applyProtection="1">
      <alignment horizontal="center" vertical="top" shrinkToFit="1"/>
    </xf>
    <xf numFmtId="164" fontId="10" fillId="6" borderId="21" xfId="27" applyNumberFormat="1" applyFont="1" applyFill="1" applyBorder="1" applyProtection="1">
      <alignment horizontal="right" vertical="top" shrinkToFit="1"/>
    </xf>
    <xf numFmtId="164" fontId="10" fillId="6" borderId="21" xfId="28" applyNumberFormat="1" applyFont="1" applyFill="1" applyBorder="1" applyProtection="1">
      <alignment horizontal="right" vertical="top" shrinkToFit="1"/>
    </xf>
    <xf numFmtId="0" fontId="10" fillId="6" borderId="21" xfId="29" applyNumberFormat="1" applyFont="1" applyFill="1" applyBorder="1" applyProtection="1">
      <alignment horizontal="left" vertical="top" wrapText="1"/>
    </xf>
    <xf numFmtId="49" fontId="10" fillId="6" borderId="21" xfId="30" applyNumberFormat="1" applyFont="1" applyFill="1" applyBorder="1" applyProtection="1">
      <alignment horizontal="center" vertical="top" shrinkToFit="1"/>
    </xf>
    <xf numFmtId="164" fontId="10" fillId="6" borderId="21" xfId="31" applyNumberFormat="1" applyFont="1" applyFill="1" applyBorder="1" applyProtection="1">
      <alignment horizontal="right" vertical="top" shrinkToFit="1"/>
    </xf>
    <xf numFmtId="164" fontId="10" fillId="6" borderId="21" xfId="32" applyNumberFormat="1" applyFont="1" applyFill="1" applyBorder="1" applyProtection="1">
      <alignment horizontal="right" vertical="top" shrinkToFit="1"/>
    </xf>
    <xf numFmtId="49" fontId="8" fillId="6" borderId="21" xfId="5" applyNumberFormat="1" applyFont="1" applyFill="1" applyBorder="1" applyProtection="1">
      <alignment horizontal="center" vertical="center" wrapText="1"/>
    </xf>
    <xf numFmtId="164" fontId="9" fillId="6" borderId="21" xfId="0" applyNumberFormat="1" applyFont="1" applyFill="1" applyBorder="1" applyProtection="1">
      <protection locked="0"/>
    </xf>
    <xf numFmtId="164" fontId="14" fillId="6" borderId="21" xfId="0" applyNumberFormat="1" applyFont="1" applyFill="1" applyBorder="1" applyProtection="1">
      <protection locked="0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0" fontId="14" fillId="6" borderId="0" xfId="0" applyFont="1" applyFill="1" applyAlignment="1" applyProtection="1">
      <alignment horizontal="center"/>
      <protection locked="0"/>
    </xf>
    <xf numFmtId="0" fontId="10" fillId="6" borderId="1" xfId="1" applyFont="1" applyFill="1" applyBorder="1" applyAlignment="1">
      <alignment horizontal="right" vertical="top" wrapText="1"/>
    </xf>
    <xf numFmtId="49" fontId="8" fillId="6" borderId="21" xfId="2" applyNumberFormat="1" applyFont="1" applyFill="1" applyBorder="1" applyProtection="1">
      <alignment horizontal="center" vertical="center" wrapText="1"/>
    </xf>
    <xf numFmtId="49" fontId="8" fillId="6" borderId="21" xfId="2" applyFont="1" applyFill="1" applyBorder="1">
      <alignment horizontal="center" vertical="center" wrapText="1"/>
    </xf>
    <xf numFmtId="49" fontId="8" fillId="6" borderId="21" xfId="3" applyNumberFormat="1" applyFont="1" applyFill="1" applyBorder="1" applyProtection="1">
      <alignment horizontal="center" vertical="center" wrapText="1"/>
    </xf>
    <xf numFmtId="49" fontId="8" fillId="6" borderId="21" xfId="3" applyFont="1" applyFill="1" applyBorder="1">
      <alignment horizontal="center" vertical="center" wrapText="1"/>
    </xf>
    <xf numFmtId="49" fontId="8" fillId="6" borderId="21" xfId="3" applyNumberFormat="1" applyFont="1" applyFill="1" applyBorder="1" applyAlignment="1" applyProtection="1">
      <alignment horizontal="center" vertical="center" wrapText="1"/>
    </xf>
    <xf numFmtId="49" fontId="8" fillId="6" borderId="21" xfId="4" applyNumberFormat="1" applyFont="1" applyFill="1" applyBorder="1" applyProtection="1">
      <alignment horizontal="center" vertical="center" wrapText="1"/>
    </xf>
    <xf numFmtId="49" fontId="8" fillId="6" borderId="21" xfId="4" applyFont="1" applyFill="1" applyBorder="1">
      <alignment horizontal="center" vertical="center" wrapText="1"/>
    </xf>
  </cellXfs>
  <cellStyles count="45">
    <cellStyle name="br" xfId="42"/>
    <cellStyle name="col" xfId="41"/>
    <cellStyle name="ex58" xfId="38"/>
    <cellStyle name="ex59" xfId="39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25"/>
    <cellStyle name="ex85" xfId="26"/>
    <cellStyle name="ex86" xfId="27"/>
    <cellStyle name="ex87" xfId="28"/>
    <cellStyle name="st57" xfId="1"/>
    <cellStyle name="style0" xfId="43"/>
    <cellStyle name="td" xfId="44"/>
    <cellStyle name="tr" xfId="40"/>
    <cellStyle name="xl_bot_header" xfId="7"/>
    <cellStyle name="xl_bot_left_header" xfId="6"/>
    <cellStyle name="xl_bot_right_header" xfId="8"/>
    <cellStyle name="xl_center_header" xfId="5"/>
    <cellStyle name="xl_top_header" xfId="3"/>
    <cellStyle name="xl_top_left_header" xfId="2"/>
    <cellStyle name="xl_top_right_header" xfId="4"/>
    <cellStyle name="xl_total_left" xfId="3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showGridLines="0" tabSelected="1" topLeftCell="A22" zoomScale="120" zoomScaleNormal="120" workbookViewId="0">
      <selection activeCell="D34" sqref="D34"/>
    </sheetView>
  </sheetViews>
  <sheetFormatPr defaultRowHeight="15" outlineLevelRow="6" x14ac:dyDescent="0.25"/>
  <cols>
    <col min="1" max="1" width="40.5703125" style="1" customWidth="1"/>
    <col min="2" max="2" width="23.5703125" style="1" customWidth="1"/>
    <col min="3" max="4" width="17.7109375" style="1" customWidth="1"/>
    <col min="5" max="6" width="17.7109375" style="1" hidden="1" customWidth="1"/>
    <col min="7" max="7" width="17.7109375" style="1" customWidth="1"/>
    <col min="8" max="8" width="11.5703125" style="1" customWidth="1"/>
    <col min="9" max="9" width="12.5703125" style="1" customWidth="1"/>
    <col min="10" max="16384" width="9.140625" style="1"/>
  </cols>
  <sheetData>
    <row r="1" spans="1:9" x14ac:dyDescent="0.25">
      <c r="A1" s="40" t="s">
        <v>213</v>
      </c>
      <c r="B1" s="40"/>
      <c r="C1" s="40"/>
      <c r="D1" s="40"/>
      <c r="E1" s="40"/>
      <c r="F1" s="40"/>
      <c r="G1" s="40"/>
    </row>
    <row r="2" spans="1:9" x14ac:dyDescent="0.25">
      <c r="A2" s="40" t="s">
        <v>214</v>
      </c>
      <c r="B2" s="40"/>
      <c r="C2" s="40"/>
      <c r="D2" s="40"/>
      <c r="E2" s="40"/>
      <c r="F2" s="40"/>
      <c r="G2" s="40"/>
    </row>
    <row r="3" spans="1:9" x14ac:dyDescent="0.25">
      <c r="A3" s="40" t="s">
        <v>215</v>
      </c>
      <c r="B3" s="40"/>
      <c r="C3" s="40"/>
      <c r="D3" s="40"/>
      <c r="E3" s="40"/>
      <c r="F3" s="40"/>
      <c r="G3" s="40"/>
    </row>
    <row r="4" spans="1:9" ht="15.2" customHeight="1" x14ac:dyDescent="0.25">
      <c r="A4" s="2" t="s">
        <v>221</v>
      </c>
      <c r="B4" s="3"/>
      <c r="C4" s="3"/>
      <c r="D4" s="41" t="s">
        <v>0</v>
      </c>
      <c r="E4" s="41"/>
      <c r="F4" s="41"/>
      <c r="G4" s="41"/>
    </row>
    <row r="5" spans="1:9" ht="23.45" customHeight="1" x14ac:dyDescent="0.25">
      <c r="A5" s="42" t="s">
        <v>1</v>
      </c>
      <c r="B5" s="44" t="s">
        <v>2</v>
      </c>
      <c r="C5" s="44" t="s">
        <v>3</v>
      </c>
      <c r="D5" s="46" t="s">
        <v>218</v>
      </c>
      <c r="E5" s="44" t="s">
        <v>4</v>
      </c>
      <c r="F5" s="45"/>
      <c r="G5" s="47" t="s">
        <v>219</v>
      </c>
      <c r="H5" s="38" t="s">
        <v>216</v>
      </c>
      <c r="I5" s="38" t="s">
        <v>220</v>
      </c>
    </row>
    <row r="6" spans="1:9" ht="78.75" customHeight="1" x14ac:dyDescent="0.25">
      <c r="A6" s="43"/>
      <c r="B6" s="44"/>
      <c r="C6" s="45"/>
      <c r="D6" s="46"/>
      <c r="E6" s="35" t="s">
        <v>5</v>
      </c>
      <c r="F6" s="35" t="s">
        <v>6</v>
      </c>
      <c r="G6" s="48"/>
      <c r="H6" s="39"/>
      <c r="I6" s="39"/>
    </row>
    <row r="7" spans="1:9" x14ac:dyDescent="0.25">
      <c r="A7" s="4" t="s">
        <v>7</v>
      </c>
      <c r="B7" s="5" t="s">
        <v>8</v>
      </c>
      <c r="C7" s="5" t="s">
        <v>9</v>
      </c>
      <c r="D7" s="5" t="s">
        <v>10</v>
      </c>
      <c r="E7" s="5" t="s">
        <v>10</v>
      </c>
      <c r="F7" s="5" t="s">
        <v>11</v>
      </c>
      <c r="G7" s="6" t="s">
        <v>11</v>
      </c>
      <c r="H7" s="6" t="s">
        <v>12</v>
      </c>
      <c r="I7" s="6" t="s">
        <v>217</v>
      </c>
    </row>
    <row r="8" spans="1:9" ht="15.75" x14ac:dyDescent="0.25">
      <c r="A8" s="7" t="s">
        <v>211</v>
      </c>
      <c r="B8" s="8" t="s">
        <v>212</v>
      </c>
      <c r="C8" s="9">
        <v>1871014.56494</v>
      </c>
      <c r="D8" s="9">
        <f>+E8+F8+382387.34</f>
        <v>1427076.4953100001</v>
      </c>
      <c r="E8" s="9">
        <v>420815.04044000001</v>
      </c>
      <c r="F8" s="9">
        <v>623874.11487000005</v>
      </c>
      <c r="G8" s="10">
        <v>1411916.35</v>
      </c>
      <c r="H8" s="37">
        <f>+G8/C8*100</f>
        <v>75.462606035099341</v>
      </c>
      <c r="I8" s="37">
        <f>+G8/D8*100</f>
        <v>98.93767815812096</v>
      </c>
    </row>
    <row r="9" spans="1:9" ht="30" x14ac:dyDescent="0.25">
      <c r="A9" s="11" t="s">
        <v>13</v>
      </c>
      <c r="B9" s="12" t="s">
        <v>14</v>
      </c>
      <c r="C9" s="13">
        <v>242500</v>
      </c>
      <c r="D9" s="13">
        <f>+E9+F9+55510.1</f>
        <v>175242.30000000002</v>
      </c>
      <c r="E9" s="13">
        <v>54135.1</v>
      </c>
      <c r="F9" s="13">
        <v>65597.100000000006</v>
      </c>
      <c r="G9" s="14">
        <v>182755.72999999998</v>
      </c>
      <c r="H9" s="36">
        <f t="shared" ref="H9:H75" si="0">+G9/C9*100</f>
        <v>75.363187628865973</v>
      </c>
      <c r="I9" s="36">
        <f t="shared" ref="I9:I75" si="1">+G9/D9*100</f>
        <v>104.28745228748993</v>
      </c>
    </row>
    <row r="10" spans="1:9" outlineLevel="1" x14ac:dyDescent="0.25">
      <c r="A10" s="15" t="s">
        <v>15</v>
      </c>
      <c r="B10" s="16" t="s">
        <v>16</v>
      </c>
      <c r="C10" s="17">
        <v>134000</v>
      </c>
      <c r="D10" s="17">
        <f>+E10+F10+32305</f>
        <v>98073</v>
      </c>
      <c r="E10" s="17">
        <v>30254</v>
      </c>
      <c r="F10" s="17">
        <v>35514</v>
      </c>
      <c r="G10" s="18">
        <f>G11</f>
        <v>96249.26999999999</v>
      </c>
      <c r="H10" s="36">
        <f t="shared" si="0"/>
        <v>71.827813432835811</v>
      </c>
      <c r="I10" s="36">
        <f t="shared" si="1"/>
        <v>98.140436205683514</v>
      </c>
    </row>
    <row r="11" spans="1:9" outlineLevel="2" x14ac:dyDescent="0.25">
      <c r="A11" s="19" t="s">
        <v>17</v>
      </c>
      <c r="B11" s="20" t="s">
        <v>18</v>
      </c>
      <c r="C11" s="21">
        <v>134000</v>
      </c>
      <c r="D11" s="21">
        <f>+E11+F11+32305</f>
        <v>98073</v>
      </c>
      <c r="E11" s="21">
        <v>30254</v>
      </c>
      <c r="F11" s="21">
        <v>35514</v>
      </c>
      <c r="G11" s="22">
        <f>G12+G13+G14+G15</f>
        <v>96249.26999999999</v>
      </c>
      <c r="H11" s="36">
        <f t="shared" si="0"/>
        <v>71.827813432835811</v>
      </c>
      <c r="I11" s="36">
        <f t="shared" si="1"/>
        <v>98.140436205683514</v>
      </c>
    </row>
    <row r="12" spans="1:9" ht="76.5" outlineLevel="3" x14ac:dyDescent="0.25">
      <c r="A12" s="23" t="s">
        <v>19</v>
      </c>
      <c r="B12" s="24" t="s">
        <v>20</v>
      </c>
      <c r="C12" s="25">
        <v>133180</v>
      </c>
      <c r="D12" s="21">
        <f>+E12+F12+32000</f>
        <v>97460</v>
      </c>
      <c r="E12" s="25">
        <v>30160</v>
      </c>
      <c r="F12" s="25">
        <v>35300</v>
      </c>
      <c r="G12" s="26">
        <v>94975.18</v>
      </c>
      <c r="H12" s="36">
        <f t="shared" si="0"/>
        <v>71.313395404715422</v>
      </c>
      <c r="I12" s="36">
        <f t="shared" si="1"/>
        <v>97.450420685409384</v>
      </c>
    </row>
    <row r="13" spans="1:9" ht="114.75" outlineLevel="3" x14ac:dyDescent="0.25">
      <c r="A13" s="23" t="s">
        <v>21</v>
      </c>
      <c r="B13" s="24" t="s">
        <v>22</v>
      </c>
      <c r="C13" s="25">
        <v>280</v>
      </c>
      <c r="D13" s="33">
        <f>+E13+F13+125</f>
        <v>232</v>
      </c>
      <c r="E13" s="25">
        <v>55</v>
      </c>
      <c r="F13" s="25">
        <v>52</v>
      </c>
      <c r="G13" s="26">
        <v>406.03</v>
      </c>
      <c r="H13" s="36">
        <f t="shared" si="0"/>
        <v>145.01071428571427</v>
      </c>
      <c r="I13" s="36">
        <f t="shared" si="1"/>
        <v>175.01293103448273</v>
      </c>
    </row>
    <row r="14" spans="1:9" ht="51" outlineLevel="3" x14ac:dyDescent="0.25">
      <c r="A14" s="23" t="s">
        <v>23</v>
      </c>
      <c r="B14" s="24" t="s">
        <v>24</v>
      </c>
      <c r="C14" s="25">
        <v>500</v>
      </c>
      <c r="D14" s="33">
        <f>+E14+F14+172</f>
        <v>355</v>
      </c>
      <c r="E14" s="25">
        <v>32</v>
      </c>
      <c r="F14" s="25">
        <v>151</v>
      </c>
      <c r="G14" s="26">
        <v>822.44</v>
      </c>
      <c r="H14" s="36">
        <f t="shared" si="0"/>
        <v>164.488</v>
      </c>
      <c r="I14" s="36">
        <f t="shared" si="1"/>
        <v>231.67323943661975</v>
      </c>
    </row>
    <row r="15" spans="1:9" ht="102" outlineLevel="3" x14ac:dyDescent="0.25">
      <c r="A15" s="23" t="s">
        <v>25</v>
      </c>
      <c r="B15" s="24" t="s">
        <v>26</v>
      </c>
      <c r="C15" s="25">
        <v>40</v>
      </c>
      <c r="D15" s="33">
        <f>+E15+F15+8</f>
        <v>26</v>
      </c>
      <c r="E15" s="25">
        <v>7</v>
      </c>
      <c r="F15" s="25">
        <v>11</v>
      </c>
      <c r="G15" s="26">
        <v>45.62</v>
      </c>
      <c r="H15" s="36">
        <f t="shared" si="0"/>
        <v>114.04999999999998</v>
      </c>
      <c r="I15" s="36">
        <f t="shared" si="1"/>
        <v>175.46153846153845</v>
      </c>
    </row>
    <row r="16" spans="1:9" ht="38.25" outlineLevel="1" x14ac:dyDescent="0.25">
      <c r="A16" s="15" t="s">
        <v>27</v>
      </c>
      <c r="B16" s="16" t="s">
        <v>28</v>
      </c>
      <c r="C16" s="17">
        <v>6860</v>
      </c>
      <c r="D16" s="17">
        <f>+E16+F16+1715</f>
        <v>5145</v>
      </c>
      <c r="E16" s="17">
        <v>1715</v>
      </c>
      <c r="F16" s="17">
        <v>1715</v>
      </c>
      <c r="G16" s="18">
        <f>G17</f>
        <v>5905.03</v>
      </c>
      <c r="H16" s="36">
        <f t="shared" si="0"/>
        <v>86.079154518950432</v>
      </c>
      <c r="I16" s="36">
        <f t="shared" si="1"/>
        <v>114.77220602526725</v>
      </c>
    </row>
    <row r="17" spans="1:9" ht="38.25" outlineLevel="2" x14ac:dyDescent="0.25">
      <c r="A17" s="19" t="s">
        <v>29</v>
      </c>
      <c r="B17" s="20" t="s">
        <v>30</v>
      </c>
      <c r="C17" s="21">
        <v>6860</v>
      </c>
      <c r="D17" s="21">
        <f>+E17+F17+1715</f>
        <v>5145</v>
      </c>
      <c r="E17" s="21">
        <v>1715</v>
      </c>
      <c r="F17" s="21">
        <v>1715</v>
      </c>
      <c r="G17" s="18">
        <f>G18+G19+G20+G21</f>
        <v>5905.03</v>
      </c>
      <c r="H17" s="36">
        <f t="shared" si="0"/>
        <v>86.079154518950432</v>
      </c>
      <c r="I17" s="36">
        <f t="shared" si="1"/>
        <v>114.77220602526725</v>
      </c>
    </row>
    <row r="18" spans="1:9" ht="76.5" outlineLevel="3" x14ac:dyDescent="0.25">
      <c r="A18" s="23" t="s">
        <v>31</v>
      </c>
      <c r="B18" s="24" t="s">
        <v>32</v>
      </c>
      <c r="C18" s="25">
        <v>3100</v>
      </c>
      <c r="D18" s="25">
        <f>+E18+F18+775</f>
        <v>2325</v>
      </c>
      <c r="E18" s="25">
        <v>775</v>
      </c>
      <c r="F18" s="25">
        <v>775</v>
      </c>
      <c r="G18" s="26">
        <v>2887.27</v>
      </c>
      <c r="H18" s="36">
        <f t="shared" si="0"/>
        <v>93.137741935483874</v>
      </c>
      <c r="I18" s="36">
        <f t="shared" si="1"/>
        <v>124.18365591397848</v>
      </c>
    </row>
    <row r="19" spans="1:9" ht="89.25" outlineLevel="3" x14ac:dyDescent="0.25">
      <c r="A19" s="23" t="s">
        <v>33</v>
      </c>
      <c r="B19" s="24" t="s">
        <v>34</v>
      </c>
      <c r="C19" s="25">
        <v>17</v>
      </c>
      <c r="D19" s="25">
        <f>+E19+F19+4.25</f>
        <v>12.75</v>
      </c>
      <c r="E19" s="25">
        <v>4.25</v>
      </c>
      <c r="F19" s="25">
        <v>4.25</v>
      </c>
      <c r="G19" s="26">
        <v>16.329999999999998</v>
      </c>
      <c r="H19" s="36">
        <f t="shared" si="0"/>
        <v>96.058823529411754</v>
      </c>
      <c r="I19" s="36">
        <f t="shared" si="1"/>
        <v>128.07843137254901</v>
      </c>
    </row>
    <row r="20" spans="1:9" ht="76.5" outlineLevel="3" x14ac:dyDescent="0.25">
      <c r="A20" s="23" t="s">
        <v>35</v>
      </c>
      <c r="B20" s="24" t="s">
        <v>36</v>
      </c>
      <c r="C20" s="25">
        <v>4133</v>
      </c>
      <c r="D20" s="25">
        <f>+E20+F20+1033.25</f>
        <v>3099.75</v>
      </c>
      <c r="E20" s="25">
        <v>1033.25</v>
      </c>
      <c r="F20" s="25">
        <v>1033.25</v>
      </c>
      <c r="G20" s="26">
        <v>3323.74</v>
      </c>
      <c r="H20" s="36">
        <f t="shared" si="0"/>
        <v>80.419549963706743</v>
      </c>
      <c r="I20" s="36">
        <f t="shared" si="1"/>
        <v>107.22606661827565</v>
      </c>
    </row>
    <row r="21" spans="1:9" ht="76.5" outlineLevel="3" x14ac:dyDescent="0.25">
      <c r="A21" s="23" t="s">
        <v>37</v>
      </c>
      <c r="B21" s="24" t="s">
        <v>38</v>
      </c>
      <c r="C21" s="25">
        <v>-390</v>
      </c>
      <c r="D21" s="25">
        <f>+E21+F21+-97.5</f>
        <v>-292.5</v>
      </c>
      <c r="E21" s="25">
        <v>-97.5</v>
      </c>
      <c r="F21" s="25">
        <v>-97.5</v>
      </c>
      <c r="G21" s="26">
        <v>-322.31</v>
      </c>
      <c r="H21" s="36">
        <f t="shared" si="0"/>
        <v>82.643589743589743</v>
      </c>
      <c r="I21" s="36">
        <f t="shared" si="1"/>
        <v>110.19145299145299</v>
      </c>
    </row>
    <row r="22" spans="1:9" outlineLevel="1" x14ac:dyDescent="0.25">
      <c r="A22" s="15" t="s">
        <v>39</v>
      </c>
      <c r="B22" s="16" t="s">
        <v>40</v>
      </c>
      <c r="C22" s="17">
        <v>27660</v>
      </c>
      <c r="D22" s="17">
        <f>+E22+F22+4423</f>
        <v>21523</v>
      </c>
      <c r="E22" s="17">
        <v>5474</v>
      </c>
      <c r="F22" s="17">
        <v>11626</v>
      </c>
      <c r="G22" s="18">
        <v>23922.62</v>
      </c>
      <c r="H22" s="36">
        <f t="shared" si="0"/>
        <v>86.488141720896593</v>
      </c>
      <c r="I22" s="36">
        <f t="shared" si="1"/>
        <v>111.14909631556939</v>
      </c>
    </row>
    <row r="23" spans="1:9" ht="25.5" outlineLevel="2" x14ac:dyDescent="0.25">
      <c r="A23" s="19" t="s">
        <v>41</v>
      </c>
      <c r="B23" s="20" t="s">
        <v>42</v>
      </c>
      <c r="C23" s="21">
        <v>24200</v>
      </c>
      <c r="D23" s="21">
        <f>+E23+F23+4001</f>
        <v>19232</v>
      </c>
      <c r="E23" s="21">
        <v>4384</v>
      </c>
      <c r="F23" s="21">
        <v>10847</v>
      </c>
      <c r="G23" s="22">
        <f>G24+G25</f>
        <v>22283.42</v>
      </c>
      <c r="H23" s="36">
        <f t="shared" si="0"/>
        <v>92.08024793388428</v>
      </c>
      <c r="I23" s="36">
        <f t="shared" si="1"/>
        <v>115.86636855241264</v>
      </c>
    </row>
    <row r="24" spans="1:9" ht="38.25" outlineLevel="3" x14ac:dyDescent="0.25">
      <c r="A24" s="23" t="s">
        <v>43</v>
      </c>
      <c r="B24" s="24" t="s">
        <v>44</v>
      </c>
      <c r="C24" s="25">
        <v>12745</v>
      </c>
      <c r="D24" s="25">
        <f>+E24+F24+1750</f>
        <v>9826</v>
      </c>
      <c r="E24" s="25">
        <v>2250</v>
      </c>
      <c r="F24" s="25">
        <v>5826</v>
      </c>
      <c r="G24" s="26">
        <v>11495.21</v>
      </c>
      <c r="H24" s="36">
        <f t="shared" si="0"/>
        <v>90.1938799529227</v>
      </c>
      <c r="I24" s="36">
        <f t="shared" si="1"/>
        <v>116.98768573173213</v>
      </c>
    </row>
    <row r="25" spans="1:9" ht="51" outlineLevel="3" x14ac:dyDescent="0.25">
      <c r="A25" s="23" t="s">
        <v>45</v>
      </c>
      <c r="B25" s="24" t="s">
        <v>46</v>
      </c>
      <c r="C25" s="25">
        <v>11455</v>
      </c>
      <c r="D25" s="25">
        <f>+E25+F25+2251</f>
        <v>9406</v>
      </c>
      <c r="E25" s="25">
        <v>2134</v>
      </c>
      <c r="F25" s="25">
        <v>5021</v>
      </c>
      <c r="G25" s="26">
        <f>G26</f>
        <v>10788.21</v>
      </c>
      <c r="H25" s="36">
        <f t="shared" si="0"/>
        <v>94.179048450458296</v>
      </c>
      <c r="I25" s="36">
        <f t="shared" si="1"/>
        <v>114.69498192642993</v>
      </c>
    </row>
    <row r="26" spans="1:9" ht="76.5" outlineLevel="4" x14ac:dyDescent="0.25">
      <c r="A26" s="31" t="s">
        <v>47</v>
      </c>
      <c r="B26" s="32" t="s">
        <v>48</v>
      </c>
      <c r="C26" s="33">
        <v>11455</v>
      </c>
      <c r="D26" s="25">
        <f>+E26+F26+2251</f>
        <v>9406</v>
      </c>
      <c r="E26" s="33">
        <v>2134</v>
      </c>
      <c r="F26" s="33">
        <v>5021</v>
      </c>
      <c r="G26" s="26">
        <v>10788.21</v>
      </c>
      <c r="H26" s="36">
        <f t="shared" si="0"/>
        <v>94.179048450458296</v>
      </c>
      <c r="I26" s="36">
        <f t="shared" si="1"/>
        <v>114.69498192642993</v>
      </c>
    </row>
    <row r="27" spans="1:9" ht="25.5" outlineLevel="2" x14ac:dyDescent="0.25">
      <c r="A27" s="19" t="s">
        <v>49</v>
      </c>
      <c r="B27" s="20" t="s">
        <v>50</v>
      </c>
      <c r="C27" s="21">
        <v>100</v>
      </c>
      <c r="D27" s="21">
        <f>+E27+F27+22</f>
        <v>57</v>
      </c>
      <c r="E27" s="21">
        <v>15</v>
      </c>
      <c r="F27" s="21">
        <v>20</v>
      </c>
      <c r="G27" s="22">
        <f>G28</f>
        <v>93.02</v>
      </c>
      <c r="H27" s="36">
        <f t="shared" si="0"/>
        <v>93.02</v>
      </c>
      <c r="I27" s="36">
        <f t="shared" si="1"/>
        <v>163.19298245614033</v>
      </c>
    </row>
    <row r="28" spans="1:9" ht="25.5" outlineLevel="3" x14ac:dyDescent="0.25">
      <c r="A28" s="23" t="s">
        <v>49</v>
      </c>
      <c r="B28" s="24" t="s">
        <v>51</v>
      </c>
      <c r="C28" s="25">
        <v>100</v>
      </c>
      <c r="D28" s="25">
        <f>+E28+F28+22</f>
        <v>57</v>
      </c>
      <c r="E28" s="25">
        <v>15</v>
      </c>
      <c r="F28" s="25">
        <v>20</v>
      </c>
      <c r="G28" s="26">
        <v>93.02</v>
      </c>
      <c r="H28" s="36">
        <f t="shared" si="0"/>
        <v>93.02</v>
      </c>
      <c r="I28" s="36">
        <f t="shared" si="1"/>
        <v>163.19298245614033</v>
      </c>
    </row>
    <row r="29" spans="1:9" outlineLevel="2" x14ac:dyDescent="0.25">
      <c r="A29" s="19" t="s">
        <v>52</v>
      </c>
      <c r="B29" s="20" t="s">
        <v>53</v>
      </c>
      <c r="C29" s="21">
        <v>10</v>
      </c>
      <c r="D29" s="21">
        <f>+E29+F29+0</f>
        <v>10</v>
      </c>
      <c r="E29" s="21">
        <v>10</v>
      </c>
      <c r="F29" s="21">
        <v>0</v>
      </c>
      <c r="G29" s="22">
        <f>G30</f>
        <v>64.75</v>
      </c>
      <c r="H29" s="36">
        <f t="shared" si="0"/>
        <v>647.5</v>
      </c>
      <c r="I29" s="36">
        <f t="shared" si="1"/>
        <v>647.5</v>
      </c>
    </row>
    <row r="30" spans="1:9" outlineLevel="3" x14ac:dyDescent="0.25">
      <c r="A30" s="23" t="s">
        <v>52</v>
      </c>
      <c r="B30" s="24" t="s">
        <v>54</v>
      </c>
      <c r="C30" s="25">
        <v>10</v>
      </c>
      <c r="D30" s="25">
        <f>+E30+F30+0</f>
        <v>10</v>
      </c>
      <c r="E30" s="25">
        <v>10</v>
      </c>
      <c r="F30" s="25">
        <v>0</v>
      </c>
      <c r="G30" s="26">
        <v>64.75</v>
      </c>
      <c r="H30" s="36">
        <f t="shared" si="0"/>
        <v>647.5</v>
      </c>
      <c r="I30" s="36">
        <f t="shared" si="1"/>
        <v>647.5</v>
      </c>
    </row>
    <row r="31" spans="1:9" hidden="1" outlineLevel="6" x14ac:dyDescent="0.25">
      <c r="A31" s="27" t="s">
        <v>52</v>
      </c>
      <c r="B31" s="28" t="s">
        <v>55</v>
      </c>
      <c r="C31" s="29">
        <v>10</v>
      </c>
      <c r="D31" s="25">
        <f t="shared" ref="D31:D33" si="2">+E31+F31</f>
        <v>10</v>
      </c>
      <c r="E31" s="29">
        <v>10</v>
      </c>
      <c r="F31" s="29">
        <v>0</v>
      </c>
      <c r="G31" s="30">
        <v>0</v>
      </c>
      <c r="H31" s="36">
        <f t="shared" si="0"/>
        <v>0</v>
      </c>
      <c r="I31" s="36">
        <f t="shared" si="1"/>
        <v>0</v>
      </c>
    </row>
    <row r="32" spans="1:9" ht="51" hidden="1" outlineLevel="4" x14ac:dyDescent="0.25">
      <c r="A32" s="31" t="s">
        <v>56</v>
      </c>
      <c r="B32" s="32" t="s">
        <v>57</v>
      </c>
      <c r="C32" s="33">
        <v>0</v>
      </c>
      <c r="D32" s="25">
        <f t="shared" si="2"/>
        <v>0</v>
      </c>
      <c r="E32" s="33">
        <v>0</v>
      </c>
      <c r="F32" s="33">
        <v>0</v>
      </c>
      <c r="G32" s="34">
        <v>40.402000000000001</v>
      </c>
      <c r="H32" s="36" t="e">
        <f t="shared" si="0"/>
        <v>#DIV/0!</v>
      </c>
      <c r="I32" s="36" t="e">
        <f t="shared" si="1"/>
        <v>#DIV/0!</v>
      </c>
    </row>
    <row r="33" spans="1:9" ht="51" hidden="1" outlineLevel="6" x14ac:dyDescent="0.25">
      <c r="A33" s="27" t="s">
        <v>56</v>
      </c>
      <c r="B33" s="28" t="s">
        <v>58</v>
      </c>
      <c r="C33" s="29">
        <v>0</v>
      </c>
      <c r="D33" s="25">
        <f t="shared" si="2"/>
        <v>0</v>
      </c>
      <c r="E33" s="29">
        <v>0</v>
      </c>
      <c r="F33" s="29">
        <v>0</v>
      </c>
      <c r="G33" s="30">
        <v>40.402000000000001</v>
      </c>
      <c r="H33" s="36" t="e">
        <f t="shared" si="0"/>
        <v>#DIV/0!</v>
      </c>
      <c r="I33" s="36" t="e">
        <f t="shared" si="1"/>
        <v>#DIV/0!</v>
      </c>
    </row>
    <row r="34" spans="1:9" ht="25.5" outlineLevel="2" collapsed="1" x14ac:dyDescent="0.25">
      <c r="A34" s="19" t="s">
        <v>59</v>
      </c>
      <c r="B34" s="20" t="s">
        <v>60</v>
      </c>
      <c r="C34" s="21">
        <v>3350</v>
      </c>
      <c r="D34" s="21">
        <f>+E34+F34+400</f>
        <v>2224</v>
      </c>
      <c r="E34" s="21">
        <v>1065</v>
      </c>
      <c r="F34" s="21">
        <v>759</v>
      </c>
      <c r="G34" s="22">
        <f>G35</f>
        <v>1481.43</v>
      </c>
      <c r="H34" s="36">
        <f t="shared" si="0"/>
        <v>44.221791044776118</v>
      </c>
      <c r="I34" s="36">
        <f t="shared" si="1"/>
        <v>66.611061151079141</v>
      </c>
    </row>
    <row r="35" spans="1:9" ht="38.25" outlineLevel="3" x14ac:dyDescent="0.25">
      <c r="A35" s="23" t="s">
        <v>61</v>
      </c>
      <c r="B35" s="24" t="s">
        <v>62</v>
      </c>
      <c r="C35" s="25">
        <v>3350</v>
      </c>
      <c r="D35" s="25">
        <f>+E35+F35+400</f>
        <v>2224</v>
      </c>
      <c r="E35" s="25">
        <v>1065</v>
      </c>
      <c r="F35" s="25">
        <v>759</v>
      </c>
      <c r="G35" s="26">
        <v>1481.43</v>
      </c>
      <c r="H35" s="36">
        <f t="shared" si="0"/>
        <v>44.221791044776118</v>
      </c>
      <c r="I35" s="36">
        <f t="shared" si="1"/>
        <v>66.611061151079141</v>
      </c>
    </row>
    <row r="36" spans="1:9" outlineLevel="1" x14ac:dyDescent="0.25">
      <c r="A36" s="15" t="s">
        <v>63</v>
      </c>
      <c r="B36" s="16" t="s">
        <v>64</v>
      </c>
      <c r="C36" s="17">
        <v>10490</v>
      </c>
      <c r="D36" s="17">
        <f>+E36+F36+1236</f>
        <v>3710</v>
      </c>
      <c r="E36" s="17">
        <v>1747</v>
      </c>
      <c r="F36" s="17">
        <v>727</v>
      </c>
      <c r="G36" s="18">
        <f>G37+G39</f>
        <v>4083.91</v>
      </c>
      <c r="H36" s="36">
        <f t="shared" si="0"/>
        <v>38.931458531935178</v>
      </c>
      <c r="I36" s="36">
        <f t="shared" si="1"/>
        <v>110.07843665768193</v>
      </c>
    </row>
    <row r="37" spans="1:9" outlineLevel="2" x14ac:dyDescent="0.25">
      <c r="A37" s="19" t="s">
        <v>65</v>
      </c>
      <c r="B37" s="20" t="s">
        <v>66</v>
      </c>
      <c r="C37" s="21">
        <v>6880</v>
      </c>
      <c r="D37" s="21">
        <f>+E37+F37+479</f>
        <v>1141</v>
      </c>
      <c r="E37" s="21">
        <v>317</v>
      </c>
      <c r="F37" s="21">
        <v>345</v>
      </c>
      <c r="G37" s="22">
        <f>G38</f>
        <v>1550.31</v>
      </c>
      <c r="H37" s="36">
        <f t="shared" si="0"/>
        <v>22.533575581395347</v>
      </c>
      <c r="I37" s="36">
        <f t="shared" si="1"/>
        <v>135.87291849255038</v>
      </c>
    </row>
    <row r="38" spans="1:9" ht="51" outlineLevel="3" x14ac:dyDescent="0.25">
      <c r="A38" s="23" t="s">
        <v>67</v>
      </c>
      <c r="B38" s="24" t="s">
        <v>68</v>
      </c>
      <c r="C38" s="25">
        <v>6880</v>
      </c>
      <c r="D38" s="25">
        <f>+E38+F38+479</f>
        <v>1141</v>
      </c>
      <c r="E38" s="25">
        <v>317</v>
      </c>
      <c r="F38" s="25">
        <v>345</v>
      </c>
      <c r="G38" s="26">
        <v>1550.31</v>
      </c>
      <c r="H38" s="36">
        <f t="shared" si="0"/>
        <v>22.533575581395347</v>
      </c>
      <c r="I38" s="36">
        <f t="shared" si="1"/>
        <v>135.87291849255038</v>
      </c>
    </row>
    <row r="39" spans="1:9" outlineLevel="2" x14ac:dyDescent="0.25">
      <c r="A39" s="19" t="s">
        <v>69</v>
      </c>
      <c r="B39" s="20" t="s">
        <v>70</v>
      </c>
      <c r="C39" s="21">
        <v>3610</v>
      </c>
      <c r="D39" s="21">
        <f>+E39+F39+757</f>
        <v>2569</v>
      </c>
      <c r="E39" s="21">
        <v>1430</v>
      </c>
      <c r="F39" s="21">
        <v>382</v>
      </c>
      <c r="G39" s="22">
        <f>G40+G41</f>
        <v>2533.6</v>
      </c>
      <c r="H39" s="36">
        <f t="shared" si="0"/>
        <v>70.18282548476455</v>
      </c>
      <c r="I39" s="36">
        <f t="shared" si="1"/>
        <v>98.62203191903464</v>
      </c>
    </row>
    <row r="40" spans="1:9" ht="38.25" outlineLevel="4" x14ac:dyDescent="0.25">
      <c r="A40" s="31" t="s">
        <v>71</v>
      </c>
      <c r="B40" s="32" t="s">
        <v>72</v>
      </c>
      <c r="C40" s="33">
        <v>2910</v>
      </c>
      <c r="D40" s="25">
        <f>+E40+F40+687</f>
        <v>2433</v>
      </c>
      <c r="E40" s="33">
        <v>1400</v>
      </c>
      <c r="F40" s="33">
        <v>346</v>
      </c>
      <c r="G40" s="34">
        <v>2410.36</v>
      </c>
      <c r="H40" s="36">
        <f t="shared" si="0"/>
        <v>82.830240549828176</v>
      </c>
      <c r="I40" s="36">
        <f t="shared" si="1"/>
        <v>99.069461570078104</v>
      </c>
    </row>
    <row r="41" spans="1:9" ht="38.25" outlineLevel="4" x14ac:dyDescent="0.25">
      <c r="A41" s="31" t="s">
        <v>73</v>
      </c>
      <c r="B41" s="32" t="s">
        <v>74</v>
      </c>
      <c r="C41" s="33">
        <v>700</v>
      </c>
      <c r="D41" s="25">
        <f>+E41+F41+70</f>
        <v>136</v>
      </c>
      <c r="E41" s="33">
        <v>30</v>
      </c>
      <c r="F41" s="33">
        <v>36</v>
      </c>
      <c r="G41" s="34">
        <v>123.24</v>
      </c>
      <c r="H41" s="36">
        <f t="shared" si="0"/>
        <v>17.605714285714285</v>
      </c>
      <c r="I41" s="36">
        <f t="shared" si="1"/>
        <v>90.617647058823522</v>
      </c>
    </row>
    <row r="42" spans="1:9" outlineLevel="1" x14ac:dyDescent="0.25">
      <c r="A42" s="15" t="s">
        <v>75</v>
      </c>
      <c r="B42" s="16" t="s">
        <v>76</v>
      </c>
      <c r="C42" s="17">
        <v>6790</v>
      </c>
      <c r="D42" s="17">
        <f>+E42+F42+1809.6</f>
        <v>4928.7999999999993</v>
      </c>
      <c r="E42" s="17">
        <v>1409.6</v>
      </c>
      <c r="F42" s="17">
        <v>1709.6</v>
      </c>
      <c r="G42" s="18">
        <f>G43+G44</f>
        <v>5495.19</v>
      </c>
      <c r="H42" s="36">
        <f t="shared" si="0"/>
        <v>80.930633284241523</v>
      </c>
      <c r="I42" s="36">
        <f t="shared" si="1"/>
        <v>111.49143807823405</v>
      </c>
    </row>
    <row r="43" spans="1:9" ht="38.25" outlineLevel="2" x14ac:dyDescent="0.25">
      <c r="A43" s="19" t="s">
        <v>77</v>
      </c>
      <c r="B43" s="20" t="s">
        <v>78</v>
      </c>
      <c r="C43" s="21">
        <v>6750</v>
      </c>
      <c r="D43" s="21">
        <f>+E43+F43+1800</f>
        <v>4900</v>
      </c>
      <c r="E43" s="21">
        <v>1400</v>
      </c>
      <c r="F43" s="21">
        <v>1700</v>
      </c>
      <c r="G43" s="22">
        <v>5470.99</v>
      </c>
      <c r="H43" s="36">
        <f t="shared" si="0"/>
        <v>81.051703703703708</v>
      </c>
      <c r="I43" s="36">
        <f t="shared" si="1"/>
        <v>111.65285714285713</v>
      </c>
    </row>
    <row r="44" spans="1:9" ht="38.25" outlineLevel="2" x14ac:dyDescent="0.25">
      <c r="A44" s="19" t="s">
        <v>79</v>
      </c>
      <c r="B44" s="20" t="s">
        <v>80</v>
      </c>
      <c r="C44" s="21">
        <v>40</v>
      </c>
      <c r="D44" s="21">
        <f>+E44+F44+9.6</f>
        <v>28.799999999999997</v>
      </c>
      <c r="E44" s="21">
        <v>9.6</v>
      </c>
      <c r="F44" s="21">
        <v>9.6</v>
      </c>
      <c r="G44" s="22">
        <f>G45</f>
        <v>24.2</v>
      </c>
      <c r="H44" s="36">
        <f t="shared" si="0"/>
        <v>60.5</v>
      </c>
      <c r="I44" s="36">
        <f t="shared" si="1"/>
        <v>84.027777777777786</v>
      </c>
    </row>
    <row r="45" spans="1:9" ht="63.75" outlineLevel="3" x14ac:dyDescent="0.25">
      <c r="A45" s="23" t="s">
        <v>81</v>
      </c>
      <c r="B45" s="24" t="s">
        <v>82</v>
      </c>
      <c r="C45" s="25">
        <v>40</v>
      </c>
      <c r="D45" s="25">
        <f>+E45+F45+9.6</f>
        <v>28.799999999999997</v>
      </c>
      <c r="E45" s="25">
        <v>9.6</v>
      </c>
      <c r="F45" s="25">
        <v>9.6</v>
      </c>
      <c r="G45" s="26">
        <v>24.2</v>
      </c>
      <c r="H45" s="36">
        <f t="shared" si="0"/>
        <v>60.5</v>
      </c>
      <c r="I45" s="36">
        <f t="shared" si="1"/>
        <v>84.027777777777786</v>
      </c>
    </row>
    <row r="46" spans="1:9" ht="38.25" outlineLevel="3" x14ac:dyDescent="0.25">
      <c r="A46" s="23" t="s">
        <v>222</v>
      </c>
      <c r="B46" s="24" t="s">
        <v>225</v>
      </c>
      <c r="C46" s="25">
        <f>C47</f>
        <v>0</v>
      </c>
      <c r="D46" s="25">
        <v>0</v>
      </c>
      <c r="E46" s="25"/>
      <c r="F46" s="25"/>
      <c r="G46" s="26">
        <f>G47</f>
        <v>-3.5</v>
      </c>
      <c r="H46" s="36"/>
      <c r="I46" s="36"/>
    </row>
    <row r="47" spans="1:9" outlineLevel="3" x14ac:dyDescent="0.25">
      <c r="A47" s="23" t="s">
        <v>223</v>
      </c>
      <c r="B47" s="24" t="s">
        <v>226</v>
      </c>
      <c r="C47" s="25">
        <f>C48</f>
        <v>0</v>
      </c>
      <c r="D47" s="25">
        <v>0</v>
      </c>
      <c r="E47" s="25"/>
      <c r="F47" s="25"/>
      <c r="G47" s="26">
        <f>G48</f>
        <v>-3.5</v>
      </c>
      <c r="H47" s="36"/>
      <c r="I47" s="36"/>
    </row>
    <row r="48" spans="1:9" ht="25.5" outlineLevel="3" x14ac:dyDescent="0.25">
      <c r="A48" s="23" t="s">
        <v>224</v>
      </c>
      <c r="B48" s="24" t="s">
        <v>227</v>
      </c>
      <c r="C48" s="25">
        <v>0</v>
      </c>
      <c r="D48" s="25">
        <v>0</v>
      </c>
      <c r="E48" s="25"/>
      <c r="F48" s="25"/>
      <c r="G48" s="26">
        <v>-3.5</v>
      </c>
      <c r="H48" s="36"/>
      <c r="I48" s="36"/>
    </row>
    <row r="49" spans="1:9" ht="51" outlineLevel="1" x14ac:dyDescent="0.25">
      <c r="A49" s="15" t="s">
        <v>83</v>
      </c>
      <c r="B49" s="16" t="s">
        <v>84</v>
      </c>
      <c r="C49" s="17">
        <v>40650</v>
      </c>
      <c r="D49" s="25">
        <f>+E49+F49+10535</f>
        <v>29620</v>
      </c>
      <c r="E49" s="17">
        <v>9050</v>
      </c>
      <c r="F49" s="17">
        <v>10035</v>
      </c>
      <c r="G49" s="18">
        <v>26430.39</v>
      </c>
      <c r="H49" s="36">
        <f t="shared" si="0"/>
        <v>65.019409594095947</v>
      </c>
      <c r="I49" s="36">
        <f t="shared" si="1"/>
        <v>89.231566509115453</v>
      </c>
    </row>
    <row r="50" spans="1:9" ht="76.5" outlineLevel="2" x14ac:dyDescent="0.25">
      <c r="A50" s="19" t="s">
        <v>85</v>
      </c>
      <c r="B50" s="20" t="s">
        <v>86</v>
      </c>
      <c r="C50" s="21">
        <v>250</v>
      </c>
      <c r="D50" s="25">
        <f>+E50+F50+150</f>
        <v>150</v>
      </c>
      <c r="E50" s="21">
        <v>0</v>
      </c>
      <c r="F50" s="21">
        <v>0</v>
      </c>
      <c r="G50" s="22">
        <f>G51</f>
        <v>0</v>
      </c>
      <c r="H50" s="36">
        <f t="shared" si="0"/>
        <v>0</v>
      </c>
      <c r="I50" s="36"/>
    </row>
    <row r="51" spans="1:9" ht="63.75" outlineLevel="3" x14ac:dyDescent="0.25">
      <c r="A51" s="23" t="s">
        <v>87</v>
      </c>
      <c r="B51" s="24" t="s">
        <v>88</v>
      </c>
      <c r="C51" s="25">
        <v>250</v>
      </c>
      <c r="D51" s="25">
        <f>+E51+F51+150</f>
        <v>150</v>
      </c>
      <c r="E51" s="25">
        <v>0</v>
      </c>
      <c r="F51" s="25">
        <v>0</v>
      </c>
      <c r="G51" s="26">
        <v>0</v>
      </c>
      <c r="H51" s="36">
        <f t="shared" si="0"/>
        <v>0</v>
      </c>
      <c r="I51" s="36"/>
    </row>
    <row r="52" spans="1:9" ht="102" outlineLevel="2" x14ac:dyDescent="0.25">
      <c r="A52" s="19" t="s">
        <v>89</v>
      </c>
      <c r="B52" s="20" t="s">
        <v>90</v>
      </c>
      <c r="C52" s="21">
        <v>29300</v>
      </c>
      <c r="D52" s="25">
        <f>+E52+F52+7480</f>
        <v>21370</v>
      </c>
      <c r="E52" s="21">
        <v>6610</v>
      </c>
      <c r="F52" s="21">
        <v>7280</v>
      </c>
      <c r="G52" s="22">
        <f>G53+G54+G55</f>
        <v>19209.419999999998</v>
      </c>
      <c r="H52" s="36">
        <f t="shared" si="0"/>
        <v>65.561160409556308</v>
      </c>
      <c r="I52" s="36">
        <f t="shared" si="1"/>
        <v>89.889658399625631</v>
      </c>
    </row>
    <row r="53" spans="1:9" ht="89.25" outlineLevel="4" x14ac:dyDescent="0.25">
      <c r="A53" s="31" t="s">
        <v>91</v>
      </c>
      <c r="B53" s="32" t="s">
        <v>92</v>
      </c>
      <c r="C53" s="33">
        <v>5100</v>
      </c>
      <c r="D53" s="25">
        <f>+E53+F53+1400</f>
        <v>3600</v>
      </c>
      <c r="E53" s="33">
        <v>800</v>
      </c>
      <c r="F53" s="33">
        <v>1400</v>
      </c>
      <c r="G53" s="34">
        <v>3039.81</v>
      </c>
      <c r="H53" s="36">
        <f t="shared" si="0"/>
        <v>59.604117647058821</v>
      </c>
      <c r="I53" s="36">
        <f t="shared" si="1"/>
        <v>84.439166666666665</v>
      </c>
    </row>
    <row r="54" spans="1:9" ht="89.25" outlineLevel="4" x14ac:dyDescent="0.25">
      <c r="A54" s="31" t="s">
        <v>93</v>
      </c>
      <c r="B54" s="32" t="s">
        <v>94</v>
      </c>
      <c r="C54" s="33">
        <v>700</v>
      </c>
      <c r="D54" s="25">
        <f>+E54+F54+180</f>
        <v>470</v>
      </c>
      <c r="E54" s="33">
        <v>110</v>
      </c>
      <c r="F54" s="33">
        <v>180</v>
      </c>
      <c r="G54" s="34">
        <v>581.04999999999995</v>
      </c>
      <c r="H54" s="36">
        <f t="shared" si="0"/>
        <v>83.007142857142853</v>
      </c>
      <c r="I54" s="36">
        <f t="shared" si="1"/>
        <v>123.62765957446808</v>
      </c>
    </row>
    <row r="55" spans="1:9" ht="76.5" outlineLevel="4" x14ac:dyDescent="0.25">
      <c r="A55" s="31" t="s">
        <v>95</v>
      </c>
      <c r="B55" s="32" t="s">
        <v>96</v>
      </c>
      <c r="C55" s="33">
        <v>23500</v>
      </c>
      <c r="D55" s="25">
        <f>+E55+F55+5900</f>
        <v>17300</v>
      </c>
      <c r="E55" s="33">
        <v>5700</v>
      </c>
      <c r="F55" s="33">
        <v>5700</v>
      </c>
      <c r="G55" s="34">
        <v>15588.56</v>
      </c>
      <c r="H55" s="36">
        <f t="shared" si="0"/>
        <v>66.334297872340414</v>
      </c>
      <c r="I55" s="36">
        <f t="shared" si="1"/>
        <v>90.10728323699422</v>
      </c>
    </row>
    <row r="56" spans="1:9" ht="25.5" outlineLevel="2" x14ac:dyDescent="0.25">
      <c r="A56" s="19" t="s">
        <v>97</v>
      </c>
      <c r="B56" s="20" t="s">
        <v>98</v>
      </c>
      <c r="C56" s="21">
        <v>25</v>
      </c>
      <c r="D56" s="25">
        <f t="shared" ref="D56:D57" si="3">+E56+F56</f>
        <v>25</v>
      </c>
      <c r="E56" s="21">
        <v>0</v>
      </c>
      <c r="F56" s="21">
        <v>25</v>
      </c>
      <c r="G56" s="22">
        <f>G57</f>
        <v>0</v>
      </c>
      <c r="H56" s="36">
        <f t="shared" si="0"/>
        <v>0</v>
      </c>
      <c r="I56" s="36">
        <f t="shared" si="1"/>
        <v>0</v>
      </c>
    </row>
    <row r="57" spans="1:9" ht="63.75" outlineLevel="4" x14ac:dyDescent="0.25">
      <c r="A57" s="31" t="s">
        <v>99</v>
      </c>
      <c r="B57" s="32" t="s">
        <v>100</v>
      </c>
      <c r="C57" s="33">
        <v>25</v>
      </c>
      <c r="D57" s="25">
        <f t="shared" si="3"/>
        <v>25</v>
      </c>
      <c r="E57" s="33">
        <v>0</v>
      </c>
      <c r="F57" s="33">
        <v>25</v>
      </c>
      <c r="G57" s="34">
        <v>0</v>
      </c>
      <c r="H57" s="36">
        <f t="shared" si="0"/>
        <v>0</v>
      </c>
      <c r="I57" s="36">
        <f t="shared" si="1"/>
        <v>0</v>
      </c>
    </row>
    <row r="58" spans="1:9" ht="89.25" outlineLevel="2" x14ac:dyDescent="0.25">
      <c r="A58" s="19" t="s">
        <v>101</v>
      </c>
      <c r="B58" s="20" t="s">
        <v>102</v>
      </c>
      <c r="C58" s="21">
        <v>11075</v>
      </c>
      <c r="D58" s="25">
        <f>+E58+F58+2905</f>
        <v>8075</v>
      </c>
      <c r="E58" s="21">
        <v>2440</v>
      </c>
      <c r="F58" s="21">
        <v>2730</v>
      </c>
      <c r="G58" s="22">
        <v>7220.97</v>
      </c>
      <c r="H58" s="36">
        <f t="shared" si="0"/>
        <v>65.200632054176083</v>
      </c>
      <c r="I58" s="36">
        <f t="shared" si="1"/>
        <v>89.423777089783286</v>
      </c>
    </row>
    <row r="59" spans="1:9" ht="89.25" outlineLevel="3" x14ac:dyDescent="0.25">
      <c r="A59" s="23" t="s">
        <v>103</v>
      </c>
      <c r="B59" s="24" t="s">
        <v>104</v>
      </c>
      <c r="C59" s="25">
        <v>11075</v>
      </c>
      <c r="D59" s="25">
        <f>+E59+F59+2905</f>
        <v>8075</v>
      </c>
      <c r="E59" s="25">
        <v>2440</v>
      </c>
      <c r="F59" s="25">
        <v>2730</v>
      </c>
      <c r="G59" s="26">
        <v>7220.97</v>
      </c>
      <c r="H59" s="36">
        <f t="shared" si="0"/>
        <v>65.200632054176083</v>
      </c>
      <c r="I59" s="36">
        <f t="shared" si="1"/>
        <v>89.423777089783286</v>
      </c>
    </row>
    <row r="60" spans="1:9" ht="25.5" outlineLevel="1" x14ac:dyDescent="0.25">
      <c r="A60" s="15" t="s">
        <v>105</v>
      </c>
      <c r="B60" s="16" t="s">
        <v>106</v>
      </c>
      <c r="C60" s="17">
        <v>2500</v>
      </c>
      <c r="D60" s="25">
        <f>+E60+F60+625</f>
        <v>1875</v>
      </c>
      <c r="E60" s="17">
        <v>625</v>
      </c>
      <c r="F60" s="17">
        <v>625</v>
      </c>
      <c r="G60" s="18">
        <v>4850.07</v>
      </c>
      <c r="H60" s="36">
        <f t="shared" si="0"/>
        <v>194.00279999999998</v>
      </c>
      <c r="I60" s="36">
        <f t="shared" si="1"/>
        <v>258.67039999999997</v>
      </c>
    </row>
    <row r="61" spans="1:9" ht="25.5" outlineLevel="2" x14ac:dyDescent="0.25">
      <c r="A61" s="19" t="s">
        <v>107</v>
      </c>
      <c r="B61" s="20" t="s">
        <v>108</v>
      </c>
      <c r="C61" s="21">
        <v>2500</v>
      </c>
      <c r="D61" s="25">
        <f>+E61+F61+625</f>
        <v>1875</v>
      </c>
      <c r="E61" s="21">
        <v>625</v>
      </c>
      <c r="F61" s="21">
        <v>625</v>
      </c>
      <c r="G61" s="22">
        <v>4850.07</v>
      </c>
      <c r="H61" s="36">
        <f t="shared" si="0"/>
        <v>194.00279999999998</v>
      </c>
      <c r="I61" s="36">
        <f t="shared" si="1"/>
        <v>258.67039999999997</v>
      </c>
    </row>
    <row r="62" spans="1:9" ht="38.25" outlineLevel="3" x14ac:dyDescent="0.25">
      <c r="A62" s="23" t="s">
        <v>109</v>
      </c>
      <c r="B62" s="24" t="s">
        <v>110</v>
      </c>
      <c r="C62" s="25">
        <v>1270</v>
      </c>
      <c r="D62" s="25">
        <f>+E62+F62+317.5</f>
        <v>952.5</v>
      </c>
      <c r="E62" s="25">
        <v>317.5</v>
      </c>
      <c r="F62" s="25">
        <v>317.5</v>
      </c>
      <c r="G62" s="26">
        <v>4523.54</v>
      </c>
      <c r="H62" s="36">
        <f t="shared" si="0"/>
        <v>356.18425196850393</v>
      </c>
      <c r="I62" s="36">
        <f t="shared" si="1"/>
        <v>474.91233595800526</v>
      </c>
    </row>
    <row r="63" spans="1:9" ht="25.5" outlineLevel="3" x14ac:dyDescent="0.25">
      <c r="A63" s="23" t="s">
        <v>111</v>
      </c>
      <c r="B63" s="24" t="s">
        <v>112</v>
      </c>
      <c r="C63" s="25">
        <v>1110</v>
      </c>
      <c r="D63" s="25">
        <f>+E63+F63+277.5</f>
        <v>832.5</v>
      </c>
      <c r="E63" s="25">
        <v>277.5</v>
      </c>
      <c r="F63" s="25">
        <v>277.5</v>
      </c>
      <c r="G63" s="26">
        <v>171.24</v>
      </c>
      <c r="H63" s="36">
        <f t="shared" si="0"/>
        <v>15.427027027027027</v>
      </c>
      <c r="I63" s="36">
        <f t="shared" si="1"/>
        <v>20.569369369369369</v>
      </c>
    </row>
    <row r="64" spans="1:9" ht="25.5" outlineLevel="3" x14ac:dyDescent="0.25">
      <c r="A64" s="23" t="s">
        <v>113</v>
      </c>
      <c r="B64" s="24" t="s">
        <v>114</v>
      </c>
      <c r="C64" s="25">
        <v>119</v>
      </c>
      <c r="D64" s="25">
        <f>+E64+F64+29.75</f>
        <v>89.25</v>
      </c>
      <c r="E64" s="25">
        <v>29.75</v>
      </c>
      <c r="F64" s="25">
        <v>29.75</v>
      </c>
      <c r="G64" s="26">
        <v>152.68</v>
      </c>
      <c r="H64" s="36">
        <f t="shared" si="0"/>
        <v>128.30252100840335</v>
      </c>
      <c r="I64" s="36">
        <f t="shared" si="1"/>
        <v>171.0700280112045</v>
      </c>
    </row>
    <row r="65" spans="1:9" ht="51" outlineLevel="3" x14ac:dyDescent="0.25">
      <c r="A65" s="23" t="s">
        <v>115</v>
      </c>
      <c r="B65" s="24" t="s">
        <v>116</v>
      </c>
      <c r="C65" s="25">
        <v>1</v>
      </c>
      <c r="D65" s="25">
        <f>+E65+F65+0.25</f>
        <v>0.75</v>
      </c>
      <c r="E65" s="25">
        <v>0.25</v>
      </c>
      <c r="F65" s="25">
        <v>0.25</v>
      </c>
      <c r="G65" s="26">
        <v>2.8973599999999999</v>
      </c>
      <c r="H65" s="36">
        <f t="shared" si="0"/>
        <v>289.73599999999999</v>
      </c>
      <c r="I65" s="36">
        <f t="shared" si="1"/>
        <v>386.31466666666665</v>
      </c>
    </row>
    <row r="66" spans="1:9" ht="25.5" outlineLevel="1" x14ac:dyDescent="0.25">
      <c r="A66" s="15" t="s">
        <v>117</v>
      </c>
      <c r="B66" s="16" t="s">
        <v>118</v>
      </c>
      <c r="C66" s="17">
        <v>5950</v>
      </c>
      <c r="D66" s="25">
        <f>+E66+F66+916.5</f>
        <v>4277.5</v>
      </c>
      <c r="E66" s="17">
        <v>1790.5</v>
      </c>
      <c r="F66" s="17">
        <v>1570.5</v>
      </c>
      <c r="G66" s="18">
        <v>10309.11</v>
      </c>
      <c r="H66" s="36">
        <f t="shared" si="0"/>
        <v>173.26235294117649</v>
      </c>
      <c r="I66" s="36">
        <f t="shared" si="1"/>
        <v>241.00783167738166</v>
      </c>
    </row>
    <row r="67" spans="1:9" outlineLevel="2" x14ac:dyDescent="0.25">
      <c r="A67" s="19" t="s">
        <v>119</v>
      </c>
      <c r="B67" s="20" t="s">
        <v>120</v>
      </c>
      <c r="C67" s="21">
        <v>30</v>
      </c>
      <c r="D67" s="25">
        <f>+E67+F67+8</f>
        <v>24</v>
      </c>
      <c r="E67" s="21">
        <v>8</v>
      </c>
      <c r="F67" s="21">
        <v>8</v>
      </c>
      <c r="G67" s="22">
        <v>80.03</v>
      </c>
      <c r="H67" s="36">
        <f t="shared" si="0"/>
        <v>266.76666666666671</v>
      </c>
      <c r="I67" s="36">
        <f t="shared" si="1"/>
        <v>333.45833333333331</v>
      </c>
    </row>
    <row r="68" spans="1:9" outlineLevel="2" x14ac:dyDescent="0.25">
      <c r="A68" s="19" t="s">
        <v>121</v>
      </c>
      <c r="B68" s="20" t="s">
        <v>122</v>
      </c>
      <c r="C68" s="21">
        <v>5920</v>
      </c>
      <c r="D68" s="25">
        <f>+E68+F68+908.5</f>
        <v>4253.5</v>
      </c>
      <c r="E68" s="21">
        <v>1782.5</v>
      </c>
      <c r="F68" s="21">
        <v>1562.5</v>
      </c>
      <c r="G68" s="22">
        <v>10229.08</v>
      </c>
      <c r="H68" s="36">
        <f t="shared" si="0"/>
        <v>172.78851351351352</v>
      </c>
      <c r="I68" s="36">
        <f t="shared" si="1"/>
        <v>240.48618784530387</v>
      </c>
    </row>
    <row r="69" spans="1:9" ht="25.5" outlineLevel="4" x14ac:dyDescent="0.25">
      <c r="A69" s="31" t="s">
        <v>123</v>
      </c>
      <c r="B69" s="32" t="s">
        <v>124</v>
      </c>
      <c r="C69" s="33">
        <v>5920</v>
      </c>
      <c r="D69" s="25">
        <f>+E69+F69+908.5</f>
        <v>4253.5</v>
      </c>
      <c r="E69" s="33">
        <v>1782.5</v>
      </c>
      <c r="F69" s="33">
        <v>1562.5</v>
      </c>
      <c r="G69" s="34">
        <v>10229.08</v>
      </c>
      <c r="H69" s="36">
        <f t="shared" si="0"/>
        <v>172.78851351351352</v>
      </c>
      <c r="I69" s="36">
        <f t="shared" si="1"/>
        <v>240.48618784530387</v>
      </c>
    </row>
    <row r="70" spans="1:9" ht="25.5" outlineLevel="1" x14ac:dyDescent="0.25">
      <c r="A70" s="15" t="s">
        <v>125</v>
      </c>
      <c r="B70" s="16" t="s">
        <v>126</v>
      </c>
      <c r="C70" s="17">
        <v>5000</v>
      </c>
      <c r="D70" s="25">
        <f>+E70+F70+1295</f>
        <v>4140</v>
      </c>
      <c r="E70" s="17">
        <v>1420</v>
      </c>
      <c r="F70" s="17">
        <v>1425</v>
      </c>
      <c r="G70" s="18">
        <v>3057.6299999999997</v>
      </c>
      <c r="H70" s="36">
        <f t="shared" si="0"/>
        <v>61.152599999999993</v>
      </c>
      <c r="I70" s="36">
        <f t="shared" si="1"/>
        <v>73.855797101449269</v>
      </c>
    </row>
    <row r="71" spans="1:9" ht="102" outlineLevel="3" x14ac:dyDescent="0.25">
      <c r="A71" s="23" t="s">
        <v>127</v>
      </c>
      <c r="B71" s="24" t="s">
        <v>128</v>
      </c>
      <c r="C71" s="25">
        <v>4850</v>
      </c>
      <c r="D71" s="25">
        <f>+E71+F71+1245</f>
        <v>4020</v>
      </c>
      <c r="E71" s="25">
        <v>1400</v>
      </c>
      <c r="F71" s="25">
        <v>1375</v>
      </c>
      <c r="G71" s="26">
        <v>2895.93</v>
      </c>
      <c r="H71" s="36">
        <f t="shared" si="0"/>
        <v>59.709896907216489</v>
      </c>
      <c r="I71" s="36">
        <f t="shared" si="1"/>
        <v>72.038059701492529</v>
      </c>
    </row>
    <row r="72" spans="1:9" ht="102" outlineLevel="4" x14ac:dyDescent="0.25">
      <c r="A72" s="31" t="s">
        <v>129</v>
      </c>
      <c r="B72" s="32" t="s">
        <v>130</v>
      </c>
      <c r="C72" s="33">
        <v>4850</v>
      </c>
      <c r="D72" s="25">
        <f>+E72+F72+1245</f>
        <v>4020</v>
      </c>
      <c r="E72" s="33">
        <v>1400</v>
      </c>
      <c r="F72" s="33">
        <v>1375</v>
      </c>
      <c r="G72" s="34">
        <v>2895.93</v>
      </c>
      <c r="H72" s="36">
        <f t="shared" si="0"/>
        <v>59.709896907216489</v>
      </c>
      <c r="I72" s="36">
        <f t="shared" si="1"/>
        <v>72.038059701492529</v>
      </c>
    </row>
    <row r="73" spans="1:9" ht="38.25" outlineLevel="2" x14ac:dyDescent="0.25">
      <c r="A73" s="19" t="s">
        <v>131</v>
      </c>
      <c r="B73" s="20" t="s">
        <v>132</v>
      </c>
      <c r="C73" s="21">
        <v>150</v>
      </c>
      <c r="D73" s="25">
        <f>+E73+F73+50</f>
        <v>120</v>
      </c>
      <c r="E73" s="21">
        <v>20</v>
      </c>
      <c r="F73" s="21">
        <v>50</v>
      </c>
      <c r="G73" s="22">
        <v>161.69999999999999</v>
      </c>
      <c r="H73" s="36">
        <f t="shared" si="0"/>
        <v>107.79999999999998</v>
      </c>
      <c r="I73" s="36">
        <f t="shared" si="1"/>
        <v>134.75</v>
      </c>
    </row>
    <row r="74" spans="1:9" ht="51" outlineLevel="4" x14ac:dyDescent="0.25">
      <c r="A74" s="31" t="s">
        <v>133</v>
      </c>
      <c r="B74" s="32" t="s">
        <v>134</v>
      </c>
      <c r="C74" s="33">
        <v>150</v>
      </c>
      <c r="D74" s="25">
        <f>+E74+F74+50</f>
        <v>120</v>
      </c>
      <c r="E74" s="33">
        <v>20</v>
      </c>
      <c r="F74" s="33">
        <v>50</v>
      </c>
      <c r="G74" s="34">
        <v>161.69999999999999</v>
      </c>
      <c r="H74" s="36">
        <f t="shared" si="0"/>
        <v>107.79999999999998</v>
      </c>
      <c r="I74" s="36">
        <f t="shared" si="1"/>
        <v>134.75</v>
      </c>
    </row>
    <row r="75" spans="1:9" ht="25.5" outlineLevel="1" x14ac:dyDescent="0.25">
      <c r="A75" s="15" t="s">
        <v>135</v>
      </c>
      <c r="B75" s="16" t="s">
        <v>136</v>
      </c>
      <c r="C75" s="17">
        <v>2600</v>
      </c>
      <c r="D75" s="25">
        <f>+E75+F75+650</f>
        <v>1950</v>
      </c>
      <c r="E75" s="17">
        <v>650</v>
      </c>
      <c r="F75" s="17">
        <v>650</v>
      </c>
      <c r="G75" s="18">
        <v>2530.41</v>
      </c>
      <c r="H75" s="36">
        <f t="shared" si="0"/>
        <v>97.32346153846153</v>
      </c>
      <c r="I75" s="36">
        <f t="shared" si="1"/>
        <v>129.76461538461535</v>
      </c>
    </row>
    <row r="76" spans="1:9" outlineLevel="1" x14ac:dyDescent="0.25">
      <c r="A76" s="15" t="s">
        <v>137</v>
      </c>
      <c r="B76" s="16" t="s">
        <v>138</v>
      </c>
      <c r="C76" s="17">
        <v>0</v>
      </c>
      <c r="D76" s="25">
        <f t="shared" ref="D76:D104" si="4">+E76+F76</f>
        <v>0</v>
      </c>
      <c r="E76" s="17">
        <v>0</v>
      </c>
      <c r="F76" s="17">
        <v>0</v>
      </c>
      <c r="G76" s="18">
        <v>-77.02</v>
      </c>
      <c r="H76" s="36" t="e">
        <f t="shared" ref="H76:H112" si="5">+G76/C76*100</f>
        <v>#DIV/0!</v>
      </c>
      <c r="I76" s="36" t="e">
        <f t="shared" ref="I76:I112" si="6">+G76/D76*100</f>
        <v>#DIV/0!</v>
      </c>
    </row>
    <row r="77" spans="1:9" outlineLevel="2" x14ac:dyDescent="0.25">
      <c r="A77" s="19" t="s">
        <v>139</v>
      </c>
      <c r="B77" s="20" t="s">
        <v>140</v>
      </c>
      <c r="C77" s="21">
        <v>0</v>
      </c>
      <c r="D77" s="25">
        <f t="shared" si="4"/>
        <v>0</v>
      </c>
      <c r="E77" s="21">
        <v>0</v>
      </c>
      <c r="F77" s="21">
        <v>0</v>
      </c>
      <c r="G77" s="22">
        <v>-70.319999999999993</v>
      </c>
      <c r="H77" s="36" t="e">
        <f t="shared" si="5"/>
        <v>#DIV/0!</v>
      </c>
      <c r="I77" s="36" t="e">
        <f t="shared" si="6"/>
        <v>#DIV/0!</v>
      </c>
    </row>
    <row r="78" spans="1:9" ht="25.5" outlineLevel="3" x14ac:dyDescent="0.25">
      <c r="A78" s="23" t="s">
        <v>141</v>
      </c>
      <c r="B78" s="24" t="s">
        <v>142</v>
      </c>
      <c r="C78" s="25">
        <v>0</v>
      </c>
      <c r="D78" s="25">
        <f t="shared" si="4"/>
        <v>0</v>
      </c>
      <c r="E78" s="25">
        <v>0</v>
      </c>
      <c r="F78" s="25">
        <v>0</v>
      </c>
      <c r="G78" s="26">
        <v>-70.319999999999993</v>
      </c>
      <c r="H78" s="36" t="e">
        <f t="shared" si="5"/>
        <v>#DIV/0!</v>
      </c>
      <c r="I78" s="36" t="e">
        <f t="shared" si="6"/>
        <v>#DIV/0!</v>
      </c>
    </row>
    <row r="79" spans="1:9" outlineLevel="3" x14ac:dyDescent="0.25">
      <c r="A79" s="23" t="s">
        <v>228</v>
      </c>
      <c r="B79" s="24" t="s">
        <v>230</v>
      </c>
      <c r="C79" s="25">
        <v>0</v>
      </c>
      <c r="D79" s="25">
        <v>0</v>
      </c>
      <c r="E79" s="25"/>
      <c r="F79" s="25"/>
      <c r="G79" s="26">
        <v>-6.7</v>
      </c>
      <c r="H79" s="36"/>
      <c r="I79" s="36"/>
    </row>
    <row r="80" spans="1:9" ht="25.5" outlineLevel="3" x14ac:dyDescent="0.25">
      <c r="A80" s="23" t="s">
        <v>229</v>
      </c>
      <c r="B80" s="24" t="s">
        <v>231</v>
      </c>
      <c r="C80" s="25">
        <v>0</v>
      </c>
      <c r="D80" s="25">
        <v>0</v>
      </c>
      <c r="E80" s="25"/>
      <c r="F80" s="25"/>
      <c r="G80" s="26">
        <v>-6.7</v>
      </c>
      <c r="H80" s="36"/>
      <c r="I80" s="36"/>
    </row>
    <row r="81" spans="1:9" x14ac:dyDescent="0.25">
      <c r="A81" s="11" t="s">
        <v>143</v>
      </c>
      <c r="B81" s="12" t="s">
        <v>144</v>
      </c>
      <c r="C81" s="13">
        <v>1628514.56494</v>
      </c>
      <c r="D81" s="25">
        <f>+E81+F81+326877.24292</f>
        <v>1251834.1982299997</v>
      </c>
      <c r="E81" s="13">
        <v>366679.94043999998</v>
      </c>
      <c r="F81" s="13">
        <v>558277.01486999996</v>
      </c>
      <c r="G81" s="25">
        <v>1229160.6200000001</v>
      </c>
      <c r="H81" s="36">
        <f t="shared" si="5"/>
        <v>75.477410301533681</v>
      </c>
      <c r="I81" s="36">
        <f t="shared" si="6"/>
        <v>98.188771463340885</v>
      </c>
    </row>
    <row r="82" spans="1:9" ht="38.25" outlineLevel="1" x14ac:dyDescent="0.25">
      <c r="A82" s="15" t="s">
        <v>145</v>
      </c>
      <c r="B82" s="16" t="s">
        <v>146</v>
      </c>
      <c r="C82" s="17">
        <v>1628348.86494</v>
      </c>
      <c r="D82" s="25">
        <f>+E82+F82+326877.24292</f>
        <v>1251668.49823</v>
      </c>
      <c r="E82" s="17">
        <v>366515.04044000001</v>
      </c>
      <c r="F82" s="17">
        <v>558276.21487000003</v>
      </c>
      <c r="G82" s="18">
        <v>1234740.9100000001</v>
      </c>
      <c r="H82" s="36">
        <f t="shared" si="5"/>
        <v>75.827787066102488</v>
      </c>
      <c r="I82" s="36">
        <f t="shared" si="6"/>
        <v>98.647598125706821</v>
      </c>
    </row>
    <row r="83" spans="1:9" ht="25.5" outlineLevel="2" x14ac:dyDescent="0.25">
      <c r="A83" s="19" t="s">
        <v>147</v>
      </c>
      <c r="B83" s="20" t="s">
        <v>148</v>
      </c>
      <c r="C83" s="21">
        <v>640831.93999999994</v>
      </c>
      <c r="D83" s="25">
        <f>+E83+F83+162483.4416</f>
        <v>481387.14003000001</v>
      </c>
      <c r="E83" s="21">
        <v>159444.80001000001</v>
      </c>
      <c r="F83" s="21">
        <v>159458.89842000001</v>
      </c>
      <c r="G83" s="22">
        <v>518797.14</v>
      </c>
      <c r="H83" s="36">
        <f t="shared" si="5"/>
        <v>80.956816852792954</v>
      </c>
      <c r="I83" s="36">
        <f t="shared" si="6"/>
        <v>107.77129193099522</v>
      </c>
    </row>
    <row r="84" spans="1:9" ht="25.5" outlineLevel="3" x14ac:dyDescent="0.25">
      <c r="A84" s="23" t="s">
        <v>149</v>
      </c>
      <c r="B84" s="24" t="s">
        <v>150</v>
      </c>
      <c r="C84" s="25">
        <v>381702.6</v>
      </c>
      <c r="D84" s="25">
        <f>+E84+F84+95425.65</f>
        <v>286276.94999999995</v>
      </c>
      <c r="E84" s="25">
        <v>95425.65</v>
      </c>
      <c r="F84" s="25">
        <v>95425.65</v>
      </c>
      <c r="G84" s="26">
        <v>286276.95</v>
      </c>
      <c r="H84" s="36">
        <f t="shared" si="5"/>
        <v>75.000000000000014</v>
      </c>
      <c r="I84" s="36">
        <f t="shared" si="6"/>
        <v>100.00000000000003</v>
      </c>
    </row>
    <row r="85" spans="1:9" ht="38.25" outlineLevel="4" x14ac:dyDescent="0.25">
      <c r="A85" s="31" t="s">
        <v>151</v>
      </c>
      <c r="B85" s="32" t="s">
        <v>152</v>
      </c>
      <c r="C85" s="33">
        <v>381702.6</v>
      </c>
      <c r="D85" s="25">
        <f>+E85+F85+95425.65</f>
        <v>286276.94999999995</v>
      </c>
      <c r="E85" s="33">
        <v>95425.65</v>
      </c>
      <c r="F85" s="33">
        <v>95425.65</v>
      </c>
      <c r="G85" s="34">
        <v>286276.95</v>
      </c>
      <c r="H85" s="36">
        <f t="shared" si="5"/>
        <v>75.000000000000014</v>
      </c>
      <c r="I85" s="36">
        <f t="shared" si="6"/>
        <v>100.00000000000003</v>
      </c>
    </row>
    <row r="86" spans="1:9" ht="25.5" outlineLevel="3" x14ac:dyDescent="0.25">
      <c r="A86" s="23" t="s">
        <v>153</v>
      </c>
      <c r="B86" s="24" t="s">
        <v>154</v>
      </c>
      <c r="C86" s="25">
        <v>256076.6</v>
      </c>
      <c r="D86" s="25">
        <f>+E86+F86+64019.15001</f>
        <v>192057.45003000001</v>
      </c>
      <c r="E86" s="25">
        <v>64019.150009999998</v>
      </c>
      <c r="F86" s="25">
        <v>64019.150009999998</v>
      </c>
      <c r="G86" s="26">
        <v>192057.45</v>
      </c>
      <c r="H86" s="36">
        <f t="shared" si="5"/>
        <v>75</v>
      </c>
      <c r="I86" s="36">
        <f t="shared" si="6"/>
        <v>99.99999998437967</v>
      </c>
    </row>
    <row r="87" spans="1:9" ht="38.25" outlineLevel="4" x14ac:dyDescent="0.25">
      <c r="A87" s="31" t="s">
        <v>155</v>
      </c>
      <c r="B87" s="32" t="s">
        <v>156</v>
      </c>
      <c r="C87" s="33">
        <v>256076.6</v>
      </c>
      <c r="D87" s="25">
        <f>+E87+F87+64019.15001</f>
        <v>192057.45003000001</v>
      </c>
      <c r="E87" s="33">
        <v>64019.150009999998</v>
      </c>
      <c r="F87" s="33">
        <v>64019.150009999998</v>
      </c>
      <c r="G87" s="34">
        <v>192057.45</v>
      </c>
      <c r="H87" s="36">
        <f t="shared" si="5"/>
        <v>75</v>
      </c>
      <c r="I87" s="36">
        <f t="shared" si="6"/>
        <v>99.99999998437967</v>
      </c>
    </row>
    <row r="88" spans="1:9" outlineLevel="3" x14ac:dyDescent="0.25">
      <c r="A88" s="23" t="s">
        <v>157</v>
      </c>
      <c r="B88" s="24" t="s">
        <v>158</v>
      </c>
      <c r="C88" s="25">
        <v>3052.74</v>
      </c>
      <c r="D88" s="25">
        <f>+E88+F88+3038.64159</f>
        <v>3052.7400000000002</v>
      </c>
      <c r="E88" s="25">
        <v>0</v>
      </c>
      <c r="F88" s="25">
        <v>14.098409999999999</v>
      </c>
      <c r="G88" s="26">
        <v>40462.74</v>
      </c>
      <c r="H88" s="36">
        <f t="shared" si="5"/>
        <v>1325.4564751665716</v>
      </c>
      <c r="I88" s="36">
        <f t="shared" si="6"/>
        <v>1325.4564751665714</v>
      </c>
    </row>
    <row r="89" spans="1:9" outlineLevel="4" x14ac:dyDescent="0.25">
      <c r="A89" s="31" t="s">
        <v>159</v>
      </c>
      <c r="B89" s="32" t="s">
        <v>160</v>
      </c>
      <c r="C89" s="33">
        <v>3052.74</v>
      </c>
      <c r="D89" s="25">
        <f>+E89+F89+3038.64159</f>
        <v>3052.7400000000002</v>
      </c>
      <c r="E89" s="33">
        <v>0</v>
      </c>
      <c r="F89" s="33">
        <v>14.098409999999999</v>
      </c>
      <c r="G89" s="34">
        <v>40462.74</v>
      </c>
      <c r="H89" s="36">
        <f t="shared" si="5"/>
        <v>1325.4564751665716</v>
      </c>
      <c r="I89" s="36">
        <f t="shared" si="6"/>
        <v>1325.4564751665714</v>
      </c>
    </row>
    <row r="90" spans="1:9" ht="38.25" outlineLevel="2" x14ac:dyDescent="0.25">
      <c r="A90" s="19" t="s">
        <v>161</v>
      </c>
      <c r="B90" s="20" t="s">
        <v>162</v>
      </c>
      <c r="C90" s="21">
        <v>336614.78694000002</v>
      </c>
      <c r="D90" s="25">
        <f>+E90+F90+84897.16732</f>
        <v>260329.37219999998</v>
      </c>
      <c r="E90" s="21">
        <v>68278.006429999994</v>
      </c>
      <c r="F90" s="21">
        <v>107154.19845</v>
      </c>
      <c r="G90" s="22">
        <v>213529.12</v>
      </c>
      <c r="H90" s="36">
        <f t="shared" si="5"/>
        <v>63.4342661952223</v>
      </c>
      <c r="I90" s="36">
        <f t="shared" si="6"/>
        <v>82.022676963225905</v>
      </c>
    </row>
    <row r="91" spans="1:9" ht="63.75" outlineLevel="3" x14ac:dyDescent="0.25">
      <c r="A91" s="23" t="s">
        <v>163</v>
      </c>
      <c r="B91" s="24" t="s">
        <v>164</v>
      </c>
      <c r="C91" s="25">
        <v>16983</v>
      </c>
      <c r="D91" s="25">
        <f>+E91+F91+0</f>
        <v>16983</v>
      </c>
      <c r="E91" s="25">
        <v>16983</v>
      </c>
      <c r="F91" s="25">
        <v>0</v>
      </c>
      <c r="G91" s="26">
        <v>11083</v>
      </c>
      <c r="H91" s="36">
        <f t="shared" si="5"/>
        <v>65.259377024082909</v>
      </c>
      <c r="I91" s="36">
        <f t="shared" si="6"/>
        <v>65.259377024082909</v>
      </c>
    </row>
    <row r="92" spans="1:9" ht="63.75" outlineLevel="4" x14ac:dyDescent="0.25">
      <c r="A92" s="31" t="s">
        <v>165</v>
      </c>
      <c r="B92" s="32" t="s">
        <v>166</v>
      </c>
      <c r="C92" s="33">
        <v>16983</v>
      </c>
      <c r="D92" s="25">
        <f>+E92+F92+0</f>
        <v>16983</v>
      </c>
      <c r="E92" s="33">
        <v>16983</v>
      </c>
      <c r="F92" s="33">
        <v>0</v>
      </c>
      <c r="G92" s="34">
        <v>11083</v>
      </c>
      <c r="H92" s="36">
        <f t="shared" si="5"/>
        <v>65.259377024082909</v>
      </c>
      <c r="I92" s="36">
        <f t="shared" si="6"/>
        <v>65.259377024082909</v>
      </c>
    </row>
    <row r="93" spans="1:9" ht="25.5" outlineLevel="3" x14ac:dyDescent="0.25">
      <c r="A93" s="23" t="s">
        <v>167</v>
      </c>
      <c r="B93" s="24" t="s">
        <v>168</v>
      </c>
      <c r="C93" s="25">
        <v>212.84</v>
      </c>
      <c r="D93" s="25">
        <f>+E93+F93+0</f>
        <v>212.84</v>
      </c>
      <c r="E93" s="25">
        <v>212.84</v>
      </c>
      <c r="F93" s="25">
        <v>0</v>
      </c>
      <c r="G93" s="26">
        <v>212.84</v>
      </c>
      <c r="H93" s="36">
        <f t="shared" si="5"/>
        <v>100</v>
      </c>
      <c r="I93" s="36">
        <f t="shared" si="6"/>
        <v>100</v>
      </c>
    </row>
    <row r="94" spans="1:9" ht="25.5" outlineLevel="4" x14ac:dyDescent="0.25">
      <c r="A94" s="31" t="s">
        <v>169</v>
      </c>
      <c r="B94" s="32" t="s">
        <v>170</v>
      </c>
      <c r="C94" s="33">
        <v>212.84</v>
      </c>
      <c r="D94" s="25">
        <f>+E94+F94+0</f>
        <v>212.84</v>
      </c>
      <c r="E94" s="33">
        <v>212.84</v>
      </c>
      <c r="F94" s="33">
        <v>0</v>
      </c>
      <c r="G94" s="34">
        <v>212.84</v>
      </c>
      <c r="H94" s="36">
        <f t="shared" si="5"/>
        <v>100</v>
      </c>
      <c r="I94" s="36">
        <f t="shared" si="6"/>
        <v>100</v>
      </c>
    </row>
    <row r="95" spans="1:9" ht="25.5" outlineLevel="3" x14ac:dyDescent="0.25">
      <c r="A95" s="23" t="s">
        <v>171</v>
      </c>
      <c r="B95" s="24" t="s">
        <v>172</v>
      </c>
      <c r="C95" s="25">
        <v>20996.581999999999</v>
      </c>
      <c r="D95" s="25">
        <f>+E95+F95+15821.50541</f>
        <v>20996.581999999999</v>
      </c>
      <c r="E95" s="25">
        <v>0</v>
      </c>
      <c r="F95" s="25">
        <v>5175.0765899999997</v>
      </c>
      <c r="G95" s="26">
        <v>9693.64</v>
      </c>
      <c r="H95" s="36">
        <f t="shared" si="5"/>
        <v>46.167704819765426</v>
      </c>
      <c r="I95" s="36">
        <f t="shared" si="6"/>
        <v>46.167704819765426</v>
      </c>
    </row>
    <row r="96" spans="1:9" ht="38.25" outlineLevel="4" x14ac:dyDescent="0.25">
      <c r="A96" s="31" t="s">
        <v>173</v>
      </c>
      <c r="B96" s="32" t="s">
        <v>174</v>
      </c>
      <c r="C96" s="33">
        <v>20996.581999999999</v>
      </c>
      <c r="D96" s="25">
        <f>+E96+F96+15821.50541</f>
        <v>20996.581999999999</v>
      </c>
      <c r="E96" s="33">
        <v>0</v>
      </c>
      <c r="F96" s="33">
        <v>5175.0765899999997</v>
      </c>
      <c r="G96" s="34">
        <v>9693.64</v>
      </c>
      <c r="H96" s="36">
        <f t="shared" si="5"/>
        <v>46.167704819765426</v>
      </c>
      <c r="I96" s="36">
        <f t="shared" si="6"/>
        <v>46.167704819765426</v>
      </c>
    </row>
    <row r="97" spans="1:9" outlineLevel="3" x14ac:dyDescent="0.25">
      <c r="A97" s="23" t="s">
        <v>175</v>
      </c>
      <c r="B97" s="24" t="s">
        <v>176</v>
      </c>
      <c r="C97" s="25">
        <v>298422.36494</v>
      </c>
      <c r="D97" s="25">
        <f>+E97+F97+69075.66191</f>
        <v>222136.95019999999</v>
      </c>
      <c r="E97" s="25">
        <v>51082.166429999997</v>
      </c>
      <c r="F97" s="25">
        <v>101979.12186</v>
      </c>
      <c r="G97" s="26">
        <v>192539.64</v>
      </c>
      <c r="H97" s="36">
        <f t="shared" si="5"/>
        <v>64.519172361197363</v>
      </c>
      <c r="I97" s="36">
        <f t="shared" si="6"/>
        <v>86.676097707584361</v>
      </c>
    </row>
    <row r="98" spans="1:9" outlineLevel="4" x14ac:dyDescent="0.25">
      <c r="A98" s="31" t="s">
        <v>177</v>
      </c>
      <c r="B98" s="32" t="s">
        <v>178</v>
      </c>
      <c r="C98" s="33">
        <v>298422.36494</v>
      </c>
      <c r="D98" s="25">
        <f>+E98+F98+69075.66191</f>
        <v>222136.95019999999</v>
      </c>
      <c r="E98" s="33">
        <v>51082.166429999997</v>
      </c>
      <c r="F98" s="33">
        <v>101979.12186</v>
      </c>
      <c r="G98" s="34">
        <v>192539.64</v>
      </c>
      <c r="H98" s="36">
        <f t="shared" si="5"/>
        <v>64.519172361197363</v>
      </c>
      <c r="I98" s="36">
        <f t="shared" si="6"/>
        <v>86.676097707584361</v>
      </c>
    </row>
    <row r="99" spans="1:9" ht="25.5" outlineLevel="2" x14ac:dyDescent="0.25">
      <c r="A99" s="19" t="s">
        <v>179</v>
      </c>
      <c r="B99" s="20" t="s">
        <v>180</v>
      </c>
      <c r="C99" s="21">
        <v>624595.13800000004</v>
      </c>
      <c r="D99" s="25">
        <f>+E99+F99+74758.834</f>
        <v>487973.38600000006</v>
      </c>
      <c r="E99" s="21">
        <v>133005.834</v>
      </c>
      <c r="F99" s="21">
        <v>280208.71799999999</v>
      </c>
      <c r="G99" s="22">
        <v>481084.05</v>
      </c>
      <c r="H99" s="36">
        <f t="shared" si="5"/>
        <v>77.023342118939127</v>
      </c>
      <c r="I99" s="36">
        <f t="shared" si="6"/>
        <v>98.588173823069909</v>
      </c>
    </row>
    <row r="100" spans="1:9" ht="38.25" outlineLevel="3" x14ac:dyDescent="0.25">
      <c r="A100" s="23" t="s">
        <v>181</v>
      </c>
      <c r="B100" s="24" t="s">
        <v>182</v>
      </c>
      <c r="C100" s="25">
        <v>8941.5540000000001</v>
      </c>
      <c r="D100" s="25">
        <f>+E100+F100+2222.834</f>
        <v>6693.5019999999995</v>
      </c>
      <c r="E100" s="25">
        <v>2247.8339999999998</v>
      </c>
      <c r="F100" s="25">
        <v>2222.8339999999998</v>
      </c>
      <c r="G100" s="26">
        <v>5228.25</v>
      </c>
      <c r="H100" s="36">
        <f t="shared" si="5"/>
        <v>58.471379807134191</v>
      </c>
      <c r="I100" s="36">
        <f t="shared" si="6"/>
        <v>78.10933648783552</v>
      </c>
    </row>
    <row r="101" spans="1:9" ht="38.25" outlineLevel="4" x14ac:dyDescent="0.25">
      <c r="A101" s="31" t="s">
        <v>183</v>
      </c>
      <c r="B101" s="32" t="s">
        <v>184</v>
      </c>
      <c r="C101" s="33">
        <v>8941.5540000000001</v>
      </c>
      <c r="D101" s="25">
        <f>+E101+F101+2222.834</f>
        <v>6693.5019999999995</v>
      </c>
      <c r="E101" s="33">
        <v>2247.8339999999998</v>
      </c>
      <c r="F101" s="33">
        <v>2222.8339999999998</v>
      </c>
      <c r="G101" s="34">
        <v>5228.25</v>
      </c>
      <c r="H101" s="36">
        <f t="shared" si="5"/>
        <v>58.471379807134191</v>
      </c>
      <c r="I101" s="36">
        <f t="shared" si="6"/>
        <v>78.10933648783552</v>
      </c>
    </row>
    <row r="102" spans="1:9" ht="76.5" outlineLevel="3" x14ac:dyDescent="0.25">
      <c r="A102" s="23" t="s">
        <v>185</v>
      </c>
      <c r="B102" s="24" t="s">
        <v>186</v>
      </c>
      <c r="C102" s="25">
        <v>11770.8</v>
      </c>
      <c r="D102" s="25">
        <f>+E102+F102+2480</f>
        <v>8580</v>
      </c>
      <c r="E102" s="25">
        <v>3240</v>
      </c>
      <c r="F102" s="25">
        <v>2860</v>
      </c>
      <c r="G102" s="26">
        <v>6100</v>
      </c>
      <c r="H102" s="36">
        <f t="shared" si="5"/>
        <v>51.823155605396408</v>
      </c>
      <c r="I102" s="36">
        <f t="shared" si="6"/>
        <v>71.095571095571103</v>
      </c>
    </row>
    <row r="103" spans="1:9" ht="89.25" outlineLevel="4" x14ac:dyDescent="0.25">
      <c r="A103" s="31" t="s">
        <v>187</v>
      </c>
      <c r="B103" s="32" t="s">
        <v>188</v>
      </c>
      <c r="C103" s="33">
        <v>11770.8</v>
      </c>
      <c r="D103" s="25">
        <f t="shared" si="4"/>
        <v>6100</v>
      </c>
      <c r="E103" s="33">
        <v>3240</v>
      </c>
      <c r="F103" s="33">
        <v>2860</v>
      </c>
      <c r="G103" s="34">
        <v>6100</v>
      </c>
      <c r="H103" s="36">
        <f t="shared" si="5"/>
        <v>51.823155605396408</v>
      </c>
      <c r="I103" s="36">
        <f t="shared" si="6"/>
        <v>100</v>
      </c>
    </row>
    <row r="104" spans="1:9" ht="63.75" outlineLevel="3" x14ac:dyDescent="0.25">
      <c r="A104" s="23" t="s">
        <v>189</v>
      </c>
      <c r="B104" s="24" t="s">
        <v>190</v>
      </c>
      <c r="C104" s="25">
        <v>300.88400000000001</v>
      </c>
      <c r="D104" s="25">
        <f t="shared" si="4"/>
        <v>300.88400000000001</v>
      </c>
      <c r="E104" s="25">
        <v>0</v>
      </c>
      <c r="F104" s="25">
        <v>300.88400000000001</v>
      </c>
      <c r="G104" s="26">
        <v>233.77</v>
      </c>
      <c r="H104" s="36">
        <f t="shared" si="5"/>
        <v>77.694393852780479</v>
      </c>
      <c r="I104" s="36">
        <f t="shared" si="6"/>
        <v>77.694393852780479</v>
      </c>
    </row>
    <row r="105" spans="1:9" ht="63.75" outlineLevel="4" x14ac:dyDescent="0.25">
      <c r="A105" s="31" t="s">
        <v>191</v>
      </c>
      <c r="B105" s="32" t="s">
        <v>192</v>
      </c>
      <c r="C105" s="33">
        <v>300.88400000000001</v>
      </c>
      <c r="D105" s="25">
        <f t="shared" ref="D105:D116" si="7">+E105+F105</f>
        <v>300.88400000000001</v>
      </c>
      <c r="E105" s="33">
        <v>0</v>
      </c>
      <c r="F105" s="33">
        <v>300.88400000000001</v>
      </c>
      <c r="G105" s="34">
        <v>233.77</v>
      </c>
      <c r="H105" s="36">
        <f t="shared" si="5"/>
        <v>77.694393852780479</v>
      </c>
      <c r="I105" s="36">
        <f t="shared" si="6"/>
        <v>77.694393852780479</v>
      </c>
    </row>
    <row r="106" spans="1:9" outlineLevel="3" x14ac:dyDescent="0.25">
      <c r="A106" s="23" t="s">
        <v>193</v>
      </c>
      <c r="B106" s="24" t="s">
        <v>194</v>
      </c>
      <c r="C106" s="25">
        <v>603581.9</v>
      </c>
      <c r="D106" s="25">
        <f>+E106+F106+70056</f>
        <v>472399</v>
      </c>
      <c r="E106" s="25">
        <v>127518</v>
      </c>
      <c r="F106" s="25">
        <v>274825</v>
      </c>
      <c r="G106" s="26">
        <v>469522</v>
      </c>
      <c r="H106" s="36">
        <f t="shared" si="5"/>
        <v>77.78927764401152</v>
      </c>
      <c r="I106" s="36">
        <f t="shared" si="6"/>
        <v>99.390980929256827</v>
      </c>
    </row>
    <row r="107" spans="1:9" ht="25.5" outlineLevel="4" x14ac:dyDescent="0.25">
      <c r="A107" s="31" t="s">
        <v>195</v>
      </c>
      <c r="B107" s="32" t="s">
        <v>196</v>
      </c>
      <c r="C107" s="33">
        <v>603581.9</v>
      </c>
      <c r="D107" s="25">
        <f>+E107+F107+70056</f>
        <v>472399</v>
      </c>
      <c r="E107" s="33">
        <v>127518</v>
      </c>
      <c r="F107" s="33">
        <v>274825</v>
      </c>
      <c r="G107" s="34">
        <v>469522</v>
      </c>
      <c r="H107" s="36">
        <f t="shared" si="5"/>
        <v>77.78927764401152</v>
      </c>
      <c r="I107" s="36">
        <f t="shared" si="6"/>
        <v>99.390980929256827</v>
      </c>
    </row>
    <row r="108" spans="1:9" outlineLevel="2" x14ac:dyDescent="0.25">
      <c r="A108" s="19" t="s">
        <v>197</v>
      </c>
      <c r="B108" s="20" t="s">
        <v>198</v>
      </c>
      <c r="C108" s="21">
        <v>26307</v>
      </c>
      <c r="D108" s="25">
        <f>+E108+F108+4737.8</f>
        <v>21978.6</v>
      </c>
      <c r="E108" s="21">
        <v>5786.4</v>
      </c>
      <c r="F108" s="21">
        <v>11454.4</v>
      </c>
      <c r="G108" s="22">
        <v>21330.6</v>
      </c>
      <c r="H108" s="36">
        <f t="shared" si="5"/>
        <v>81.08336184285551</v>
      </c>
      <c r="I108" s="36">
        <f t="shared" si="6"/>
        <v>97.051677540880675</v>
      </c>
    </row>
    <row r="109" spans="1:9" ht="76.5" outlineLevel="3" x14ac:dyDescent="0.25">
      <c r="A109" s="23" t="s">
        <v>199</v>
      </c>
      <c r="B109" s="24" t="s">
        <v>200</v>
      </c>
      <c r="C109" s="25">
        <v>26307</v>
      </c>
      <c r="D109" s="25">
        <f>+E109+F109+2695.2</f>
        <v>19936</v>
      </c>
      <c r="E109" s="25">
        <v>5786.4</v>
      </c>
      <c r="F109" s="25">
        <v>11454.4</v>
      </c>
      <c r="G109" s="26">
        <v>19936</v>
      </c>
      <c r="H109" s="36">
        <f t="shared" si="5"/>
        <v>75.782111225149194</v>
      </c>
      <c r="I109" s="36">
        <f t="shared" si="6"/>
        <v>100</v>
      </c>
    </row>
    <row r="110" spans="1:9" ht="63.75" outlineLevel="3" x14ac:dyDescent="0.25">
      <c r="A110" s="23" t="s">
        <v>232</v>
      </c>
      <c r="B110" s="24" t="s">
        <v>233</v>
      </c>
      <c r="C110" s="25">
        <v>26307</v>
      </c>
      <c r="D110" s="25">
        <f>17240.8+2695.2</f>
        <v>19936</v>
      </c>
      <c r="E110" s="25"/>
      <c r="F110" s="25"/>
      <c r="G110" s="26">
        <v>19936</v>
      </c>
      <c r="H110" s="36">
        <f t="shared" si="5"/>
        <v>75.782111225149194</v>
      </c>
      <c r="I110" s="36">
        <f t="shared" si="6"/>
        <v>100</v>
      </c>
    </row>
    <row r="111" spans="1:9" outlineLevel="1" x14ac:dyDescent="0.25">
      <c r="A111" s="15" t="s">
        <v>201</v>
      </c>
      <c r="B111" s="16" t="s">
        <v>202</v>
      </c>
      <c r="C111" s="17">
        <v>165.7</v>
      </c>
      <c r="D111" s="25">
        <f t="shared" si="7"/>
        <v>165.70000000000002</v>
      </c>
      <c r="E111" s="17">
        <v>164.9</v>
      </c>
      <c r="F111" s="17">
        <v>0.8</v>
      </c>
      <c r="G111" s="18">
        <v>165.7</v>
      </c>
      <c r="H111" s="36">
        <f t="shared" si="5"/>
        <v>100</v>
      </c>
      <c r="I111" s="36">
        <f t="shared" si="6"/>
        <v>99.999999999999972</v>
      </c>
    </row>
    <row r="112" spans="1:9" ht="51" outlineLevel="3" x14ac:dyDescent="0.25">
      <c r="A112" s="23" t="s">
        <v>203</v>
      </c>
      <c r="B112" s="24" t="s">
        <v>204</v>
      </c>
      <c r="C112" s="25">
        <v>95.7</v>
      </c>
      <c r="D112" s="25">
        <f t="shared" si="7"/>
        <v>95.7</v>
      </c>
      <c r="E112" s="25">
        <v>94.9</v>
      </c>
      <c r="F112" s="25">
        <v>0.8</v>
      </c>
      <c r="G112" s="26">
        <v>95.7</v>
      </c>
      <c r="H112" s="36">
        <f t="shared" si="5"/>
        <v>100</v>
      </c>
      <c r="I112" s="36">
        <f t="shared" si="6"/>
        <v>100</v>
      </c>
    </row>
    <row r="113" spans="1:9" ht="25.5" outlineLevel="3" x14ac:dyDescent="0.25">
      <c r="A113" s="23" t="s">
        <v>234</v>
      </c>
      <c r="B113" s="24" t="s">
        <v>235</v>
      </c>
      <c r="C113" s="25">
        <v>0</v>
      </c>
      <c r="D113" s="25">
        <v>0</v>
      </c>
      <c r="E113" s="25"/>
      <c r="F113" s="25"/>
      <c r="G113" s="26">
        <v>70</v>
      </c>
      <c r="H113" s="36"/>
      <c r="I113" s="36"/>
    </row>
    <row r="114" spans="1:9" ht="76.5" outlineLevel="1" x14ac:dyDescent="0.25">
      <c r="A114" s="15" t="s">
        <v>205</v>
      </c>
      <c r="B114" s="16" t="s">
        <v>206</v>
      </c>
      <c r="C114" s="17">
        <v>0</v>
      </c>
      <c r="D114" s="25">
        <f t="shared" si="7"/>
        <v>0</v>
      </c>
      <c r="E114" s="17">
        <v>0</v>
      </c>
      <c r="F114" s="17">
        <v>0</v>
      </c>
      <c r="G114" s="18">
        <v>51.888399999999997</v>
      </c>
      <c r="H114" s="36"/>
      <c r="I114" s="36"/>
    </row>
    <row r="115" spans="1:9" ht="51" outlineLevel="1" x14ac:dyDescent="0.25">
      <c r="A115" s="15" t="s">
        <v>207</v>
      </c>
      <c r="B115" s="16" t="s">
        <v>208</v>
      </c>
      <c r="C115" s="17">
        <v>0</v>
      </c>
      <c r="D115" s="25">
        <f t="shared" si="7"/>
        <v>0</v>
      </c>
      <c r="E115" s="17">
        <v>0</v>
      </c>
      <c r="F115" s="17">
        <v>0</v>
      </c>
      <c r="G115" s="18">
        <v>-5797.89</v>
      </c>
      <c r="H115" s="36"/>
      <c r="I115" s="36"/>
    </row>
    <row r="116" spans="1:9" ht="51" outlineLevel="2" x14ac:dyDescent="0.25">
      <c r="A116" s="19" t="s">
        <v>209</v>
      </c>
      <c r="B116" s="20" t="s">
        <v>210</v>
      </c>
      <c r="C116" s="21">
        <v>0</v>
      </c>
      <c r="D116" s="25">
        <f t="shared" si="7"/>
        <v>0</v>
      </c>
      <c r="E116" s="21">
        <v>0</v>
      </c>
      <c r="F116" s="21">
        <v>0</v>
      </c>
      <c r="G116" s="22">
        <v>-5797.89</v>
      </c>
      <c r="H116" s="36"/>
      <c r="I116" s="36"/>
    </row>
  </sheetData>
  <mergeCells count="12">
    <mergeCell ref="I5:I6"/>
    <mergeCell ref="A1:G1"/>
    <mergeCell ref="A2:G2"/>
    <mergeCell ref="A3:G3"/>
    <mergeCell ref="D4:G4"/>
    <mergeCell ref="H5:H6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  <pageSetup paperSize="9" scale="6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Доходы для мониторинга&lt;/VariantName&gt;&#10;  &lt;VariantLink&gt;12534&lt;/VariantLink&gt;&#10;  &lt;ReportCode&gt;MAKET_0bd4b6f9_f511_4c21_8d53_0afcbaf8132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D7A2B1-6791-48B6-B456-55740EDEA1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Зыкова</dc:creator>
  <cp:lastModifiedBy>Нина Борисова</cp:lastModifiedBy>
  <dcterms:created xsi:type="dcterms:W3CDTF">2022-07-08T06:18:14Z</dcterms:created>
  <dcterms:modified xsi:type="dcterms:W3CDTF">2022-10-28T10:52:13Z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Доходы для мониторинга(3).xlsx</vt:lpwstr>
  </property>
  <property fmtid="{D5CDD505-2E9C-101B-9397-08002B2CF9AE}" pid="4" name="Версия клиента">
    <vt:lpwstr>21.2.29.6080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04-фу-зыкова-са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